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drawings/drawing3.xml" ContentType="application/vnd.openxmlformats-officedocument.drawingml.chartshape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style1.xml" ContentType="application/vnd.ms-office.chartstyle+xml"/>
  <Override PartName="/xl/charts/chart1.xml" ContentType="application/vnd.openxmlformats-officedocument.drawingml.chart+xml"/>
  <Override PartName="/xl/charts/colors1.xml" ContentType="application/vnd.ms-office.chartcolorsty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jo.zhou\Downloads\"/>
    </mc:Choice>
  </mc:AlternateContent>
  <xr:revisionPtr revIDLastSave="0" documentId="13_ncr:1_{6B4B357A-C516-46F6-8C87-005F7EF4874F}" xr6:coauthVersionLast="45" xr6:coauthVersionMax="45" xr10:uidLastSave="{00000000-0000-0000-0000-000000000000}"/>
  <bookViews>
    <workbookView xWindow="-120" yWindow="-120" windowWidth="20730" windowHeight="11160" xr2:uid="{0FFA1798-EA36-4571-A4E1-78C23745FF40}"/>
  </bookViews>
  <sheets>
    <sheet name="Template_CMP368_9" sheetId="10" r:id="rId1"/>
    <sheet name="Exports" sheetId="1" r:id="rId2"/>
    <sheet name="Out-turn 2020_21" sheetId="7" r:id="rId3"/>
    <sheet name="Chart" sheetId="9" r:id="rId4"/>
    <sheet name="2020_21 Forecast" sheetId="2" r:id="rId5"/>
    <sheet name="Comparison to forecast" sheetId="8" r:id="rId6"/>
    <sheet name="Gen Rec" sheetId="5" r:id="rId7"/>
    <sheet name="Local Tariffs" sheetId="6" r:id="rId8"/>
    <sheet name="Exch Rate" sheetId="4" r:id="rId9"/>
  </sheets>
  <definedNames>
    <definedName name="_xlnm._FilterDatabase" localSheetId="6" hidden="1">'Gen Rec'!$B$9:$AL$181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 i="10" l="1"/>
  <c r="D1" i="10"/>
  <c r="A2" i="10"/>
  <c r="C2" i="10"/>
  <c r="B1" i="10"/>
  <c r="A1" i="10"/>
  <c r="G12" i="10"/>
  <c r="G11" i="10"/>
  <c r="G15" i="10"/>
  <c r="C15" i="10"/>
  <c r="G10" i="10"/>
  <c r="G9" i="10"/>
  <c r="G8" i="10"/>
  <c r="G7" i="10"/>
  <c r="C8" i="10"/>
  <c r="C7" i="10"/>
  <c r="B2" i="10" s="1"/>
  <c r="J23" i="7" l="1"/>
  <c r="J29" i="7" s="1"/>
  <c r="K30" i="7"/>
  <c r="L30" i="7"/>
  <c r="M24" i="7"/>
  <c r="L23" i="7"/>
  <c r="L29" i="7" s="1"/>
  <c r="L31" i="7" s="1"/>
  <c r="K23" i="7"/>
  <c r="K25" i="7" s="1"/>
  <c r="J24" i="7"/>
  <c r="J30" i="7" s="1"/>
  <c r="M30" i="7" s="1"/>
  <c r="K17" i="7"/>
  <c r="J25" i="7" l="1"/>
  <c r="L25" i="7"/>
  <c r="K29" i="7"/>
  <c r="K31" i="7" s="1"/>
  <c r="J31" i="7"/>
  <c r="M31" i="7" s="1"/>
  <c r="M23" i="7"/>
  <c r="H7" i="5"/>
  <c r="C7" i="8" s="1"/>
  <c r="C8" i="8" s="1"/>
  <c r="C12" i="8" s="1"/>
  <c r="M29" i="7" l="1"/>
  <c r="M25" i="7"/>
  <c r="AN11" i="5" l="1"/>
  <c r="AN12" i="5"/>
  <c r="AN13" i="5"/>
  <c r="AN6" i="5" s="1"/>
  <c r="AN14" i="5"/>
  <c r="AN15" i="5"/>
  <c r="AN16" i="5"/>
  <c r="AN17" i="5"/>
  <c r="AN18" i="5"/>
  <c r="AN19" i="5"/>
  <c r="AN20" i="5"/>
  <c r="AN21" i="5"/>
  <c r="AN22" i="5"/>
  <c r="AN23" i="5"/>
  <c r="AN24" i="5"/>
  <c r="AN25" i="5"/>
  <c r="AN26" i="5"/>
  <c r="AN27" i="5"/>
  <c r="AN28" i="5"/>
  <c r="AN29" i="5"/>
  <c r="AN30" i="5"/>
  <c r="AN31" i="5"/>
  <c r="AN32" i="5"/>
  <c r="AN33" i="5"/>
  <c r="AN34" i="5"/>
  <c r="AN35" i="5"/>
  <c r="AN36" i="5"/>
  <c r="AN37" i="5"/>
  <c r="AN38" i="5"/>
  <c r="AN39" i="5"/>
  <c r="AN40" i="5"/>
  <c r="AN41" i="5"/>
  <c r="AN42" i="5"/>
  <c r="AN43" i="5"/>
  <c r="AN44" i="5"/>
  <c r="AN45" i="5"/>
  <c r="AN46" i="5"/>
  <c r="AN47" i="5"/>
  <c r="AN48" i="5"/>
  <c r="AN49" i="5"/>
  <c r="AN50" i="5"/>
  <c r="AN51" i="5"/>
  <c r="AN52" i="5"/>
  <c r="AN53" i="5"/>
  <c r="AN54" i="5"/>
  <c r="AN55" i="5"/>
  <c r="AN56" i="5"/>
  <c r="AN57" i="5"/>
  <c r="AN58" i="5"/>
  <c r="AN59" i="5"/>
  <c r="AN60" i="5"/>
  <c r="AN61" i="5"/>
  <c r="AN62" i="5"/>
  <c r="AN63" i="5"/>
  <c r="AN64" i="5"/>
  <c r="AN65" i="5"/>
  <c r="AN66" i="5"/>
  <c r="AN67" i="5"/>
  <c r="AN68" i="5"/>
  <c r="AN69" i="5"/>
  <c r="AN5" i="5" s="1"/>
  <c r="AN70" i="5"/>
  <c r="AN71" i="5"/>
  <c r="AN72" i="5"/>
  <c r="AN73" i="5"/>
  <c r="AN74" i="5"/>
  <c r="AN75" i="5"/>
  <c r="AN76" i="5"/>
  <c r="AN77" i="5"/>
  <c r="AN78" i="5"/>
  <c r="AN79" i="5"/>
  <c r="AN80" i="5"/>
  <c r="AN81" i="5"/>
  <c r="AN82" i="5"/>
  <c r="AN83" i="5"/>
  <c r="AN84" i="5"/>
  <c r="AN85" i="5"/>
  <c r="AN86" i="5"/>
  <c r="AN87" i="5"/>
  <c r="AN88" i="5"/>
  <c r="AN89" i="5"/>
  <c r="AN90" i="5"/>
  <c r="AN91" i="5"/>
  <c r="AN92" i="5"/>
  <c r="AN93" i="5"/>
  <c r="AN94" i="5"/>
  <c r="AN95" i="5"/>
  <c r="AN96" i="5"/>
  <c r="AN97" i="5"/>
  <c r="AN98" i="5"/>
  <c r="AN99" i="5"/>
  <c r="AN100" i="5"/>
  <c r="AN101" i="5"/>
  <c r="AN102" i="5"/>
  <c r="AN103" i="5"/>
  <c r="AN104" i="5"/>
  <c r="AN105" i="5"/>
  <c r="AN106" i="5"/>
  <c r="AN107" i="5"/>
  <c r="AN108" i="5"/>
  <c r="AN109" i="5"/>
  <c r="AN110" i="5"/>
  <c r="AN111" i="5"/>
  <c r="AN112" i="5"/>
  <c r="AN113" i="5"/>
  <c r="AN114" i="5"/>
  <c r="AN115" i="5"/>
  <c r="AN116" i="5"/>
  <c r="AN117" i="5"/>
  <c r="AN118" i="5"/>
  <c r="AN119" i="5"/>
  <c r="AN120" i="5"/>
  <c r="AN121" i="5"/>
  <c r="AN122" i="5"/>
  <c r="AN123" i="5"/>
  <c r="AN124" i="5"/>
  <c r="AN125" i="5"/>
  <c r="AN126" i="5"/>
  <c r="AN127" i="5"/>
  <c r="AN128" i="5"/>
  <c r="AN129" i="5"/>
  <c r="AN130" i="5"/>
  <c r="AN131" i="5"/>
  <c r="AN132" i="5"/>
  <c r="AN133" i="5"/>
  <c r="AN134" i="5"/>
  <c r="AN135" i="5"/>
  <c r="AN136" i="5"/>
  <c r="AN137" i="5"/>
  <c r="AN138" i="5"/>
  <c r="AN139" i="5"/>
  <c r="AN140" i="5"/>
  <c r="AN141" i="5"/>
  <c r="AN142" i="5"/>
  <c r="AN143" i="5"/>
  <c r="AN144" i="5"/>
  <c r="AN145" i="5"/>
  <c r="AN146" i="5"/>
  <c r="AN147" i="5"/>
  <c r="AN148" i="5"/>
  <c r="AN149" i="5"/>
  <c r="AN150" i="5"/>
  <c r="AN151" i="5"/>
  <c r="AN152" i="5"/>
  <c r="AN153" i="5"/>
  <c r="AN154" i="5"/>
  <c r="AN155" i="5"/>
  <c r="AN156" i="5"/>
  <c r="AN157" i="5"/>
  <c r="AN158" i="5"/>
  <c r="AN159" i="5"/>
  <c r="AN160" i="5"/>
  <c r="AN161" i="5"/>
  <c r="AN162" i="5"/>
  <c r="AN163" i="5"/>
  <c r="AN164" i="5"/>
  <c r="AN165" i="5"/>
  <c r="AN166" i="5"/>
  <c r="AN167" i="5"/>
  <c r="AN168" i="5"/>
  <c r="AN169" i="5"/>
  <c r="AN170" i="5"/>
  <c r="AN171" i="5"/>
  <c r="AN172" i="5"/>
  <c r="AN173" i="5"/>
  <c r="AN174" i="5"/>
  <c r="AN175" i="5"/>
  <c r="AN176" i="5"/>
  <c r="AN177" i="5"/>
  <c r="AN178" i="5"/>
  <c r="AN179" i="5"/>
  <c r="AN180" i="5"/>
  <c r="AN181" i="5"/>
  <c r="AN10" i="5"/>
  <c r="AN8" i="5" s="1"/>
  <c r="AM5" i="5"/>
  <c r="AM7" i="5" s="1"/>
  <c r="AM6" i="5"/>
  <c r="AM8" i="5"/>
  <c r="AN7" i="5" l="1"/>
  <c r="AI10" i="5" l="1"/>
  <c r="AG11" i="5"/>
  <c r="AG12" i="5"/>
  <c r="AG13" i="5"/>
  <c r="AG14" i="5"/>
  <c r="AG15" i="5"/>
  <c r="AG16" i="5"/>
  <c r="AG17" i="5"/>
  <c r="AG18" i="5"/>
  <c r="AG19" i="5"/>
  <c r="AG20" i="5"/>
  <c r="AG21" i="5"/>
  <c r="AG22" i="5"/>
  <c r="AG23" i="5"/>
  <c r="AG24" i="5"/>
  <c r="AG25" i="5"/>
  <c r="AG26" i="5"/>
  <c r="AG27" i="5"/>
  <c r="AG28" i="5"/>
  <c r="AG29" i="5"/>
  <c r="AG30" i="5"/>
  <c r="AG31" i="5"/>
  <c r="AG32" i="5"/>
  <c r="AG33" i="5"/>
  <c r="AG34" i="5"/>
  <c r="AG35" i="5"/>
  <c r="AG36" i="5"/>
  <c r="AG37" i="5"/>
  <c r="AG38" i="5"/>
  <c r="AG39" i="5"/>
  <c r="AG40" i="5"/>
  <c r="AG41" i="5"/>
  <c r="AG42" i="5"/>
  <c r="AG43" i="5"/>
  <c r="AG44" i="5"/>
  <c r="AG45" i="5"/>
  <c r="AG46" i="5"/>
  <c r="AG47" i="5"/>
  <c r="AG48" i="5"/>
  <c r="AG49" i="5"/>
  <c r="AG50" i="5"/>
  <c r="AG51" i="5"/>
  <c r="AG52" i="5"/>
  <c r="AG53" i="5"/>
  <c r="AG54" i="5"/>
  <c r="AG55" i="5"/>
  <c r="AG56" i="5"/>
  <c r="AG57" i="5"/>
  <c r="AG58" i="5"/>
  <c r="AG59" i="5"/>
  <c r="AG60" i="5"/>
  <c r="AG61" i="5"/>
  <c r="AG62" i="5"/>
  <c r="AG63" i="5"/>
  <c r="AG64" i="5"/>
  <c r="AG65" i="5"/>
  <c r="AG66" i="5"/>
  <c r="AG67" i="5"/>
  <c r="AG68" i="5"/>
  <c r="AG69" i="5"/>
  <c r="AG70" i="5"/>
  <c r="AG71" i="5"/>
  <c r="AG72" i="5"/>
  <c r="AG73" i="5"/>
  <c r="AG74" i="5"/>
  <c r="AG75" i="5"/>
  <c r="AG76" i="5"/>
  <c r="AG77" i="5"/>
  <c r="AG78" i="5"/>
  <c r="AG79" i="5"/>
  <c r="AG80" i="5"/>
  <c r="AG81" i="5"/>
  <c r="AG82" i="5"/>
  <c r="AG83" i="5"/>
  <c r="AG84" i="5"/>
  <c r="AG85" i="5"/>
  <c r="AG86" i="5"/>
  <c r="AG87" i="5"/>
  <c r="AG88" i="5"/>
  <c r="AG89" i="5"/>
  <c r="AG90" i="5"/>
  <c r="AG91" i="5"/>
  <c r="AG92" i="5"/>
  <c r="AG93" i="5"/>
  <c r="AG94" i="5"/>
  <c r="AG95" i="5"/>
  <c r="AG96" i="5"/>
  <c r="AG97" i="5"/>
  <c r="AG98" i="5"/>
  <c r="AG99" i="5"/>
  <c r="AG100" i="5"/>
  <c r="AG101" i="5"/>
  <c r="AG102" i="5"/>
  <c r="AG103" i="5"/>
  <c r="AG104" i="5"/>
  <c r="AG105" i="5"/>
  <c r="AG106" i="5"/>
  <c r="AG107" i="5"/>
  <c r="AG108" i="5"/>
  <c r="AG109" i="5"/>
  <c r="AG110" i="5"/>
  <c r="AG111" i="5"/>
  <c r="AG112" i="5"/>
  <c r="AG113" i="5"/>
  <c r="AG114" i="5"/>
  <c r="AG115" i="5"/>
  <c r="AG116" i="5"/>
  <c r="AG117" i="5"/>
  <c r="AG118" i="5"/>
  <c r="AG119" i="5"/>
  <c r="AG120" i="5"/>
  <c r="AG121" i="5"/>
  <c r="AG122" i="5"/>
  <c r="AG123" i="5"/>
  <c r="AG124" i="5"/>
  <c r="AG125" i="5"/>
  <c r="AG126" i="5"/>
  <c r="AG127" i="5"/>
  <c r="AG128" i="5"/>
  <c r="AG129" i="5"/>
  <c r="AG130" i="5"/>
  <c r="AG131" i="5"/>
  <c r="AG132" i="5"/>
  <c r="AG133" i="5"/>
  <c r="AG134" i="5"/>
  <c r="AG135" i="5"/>
  <c r="AG136" i="5"/>
  <c r="AG137" i="5"/>
  <c r="AG138" i="5"/>
  <c r="AG139" i="5"/>
  <c r="AG140" i="5"/>
  <c r="AG141" i="5"/>
  <c r="AG142" i="5"/>
  <c r="AG143" i="5"/>
  <c r="AG144" i="5"/>
  <c r="AG145" i="5"/>
  <c r="AG146" i="5"/>
  <c r="AG147" i="5"/>
  <c r="AG148" i="5"/>
  <c r="AG149" i="5"/>
  <c r="AG150" i="5"/>
  <c r="AG151" i="5"/>
  <c r="AG152" i="5"/>
  <c r="AG153" i="5"/>
  <c r="AG154" i="5"/>
  <c r="AG155" i="5"/>
  <c r="AG156" i="5"/>
  <c r="AG157" i="5"/>
  <c r="AG158" i="5"/>
  <c r="AG159" i="5"/>
  <c r="AG160" i="5"/>
  <c r="AG161" i="5"/>
  <c r="AG162" i="5"/>
  <c r="AG163" i="5"/>
  <c r="AG164" i="5"/>
  <c r="AG165" i="5"/>
  <c r="AG166" i="5"/>
  <c r="AG167" i="5"/>
  <c r="AG168" i="5"/>
  <c r="AG169" i="5"/>
  <c r="AG170" i="5"/>
  <c r="AG171" i="5"/>
  <c r="AG172" i="5"/>
  <c r="AG173" i="5"/>
  <c r="AG174" i="5"/>
  <c r="AG175" i="5"/>
  <c r="AG176" i="5"/>
  <c r="AG177" i="5"/>
  <c r="AG178" i="5"/>
  <c r="AG179" i="5"/>
  <c r="AG180" i="5"/>
  <c r="AG181" i="5"/>
  <c r="AF11" i="5"/>
  <c r="AI11" i="5" s="1"/>
  <c r="AF12" i="5"/>
  <c r="AI12" i="5" s="1"/>
  <c r="AF13" i="5"/>
  <c r="AI13" i="5" s="1"/>
  <c r="AF14" i="5"/>
  <c r="AI14" i="5" s="1"/>
  <c r="AF15" i="5"/>
  <c r="AI15" i="5" s="1"/>
  <c r="AF16" i="5"/>
  <c r="AI16" i="5" s="1"/>
  <c r="AF17" i="5"/>
  <c r="AI17" i="5" s="1"/>
  <c r="AF18" i="5"/>
  <c r="AI18" i="5" s="1"/>
  <c r="AF19" i="5"/>
  <c r="AI19" i="5" s="1"/>
  <c r="AF20" i="5"/>
  <c r="AI20" i="5" s="1"/>
  <c r="AF21" i="5"/>
  <c r="AI21" i="5" s="1"/>
  <c r="AF22" i="5"/>
  <c r="AI22" i="5" s="1"/>
  <c r="AF23" i="5"/>
  <c r="AI23" i="5" s="1"/>
  <c r="AF24" i="5"/>
  <c r="AI24" i="5" s="1"/>
  <c r="AF25" i="5"/>
  <c r="AI25" i="5" s="1"/>
  <c r="AF26" i="5"/>
  <c r="AI26" i="5" s="1"/>
  <c r="AF27" i="5"/>
  <c r="AI27" i="5" s="1"/>
  <c r="AF28" i="5"/>
  <c r="AI28" i="5" s="1"/>
  <c r="AF29" i="5"/>
  <c r="AI29" i="5" s="1"/>
  <c r="AF30" i="5"/>
  <c r="AI30" i="5" s="1"/>
  <c r="AF31" i="5"/>
  <c r="AI31" i="5" s="1"/>
  <c r="AF32" i="5"/>
  <c r="AI32" i="5" s="1"/>
  <c r="AF33" i="5"/>
  <c r="AI33" i="5" s="1"/>
  <c r="AF34" i="5"/>
  <c r="AI34" i="5" s="1"/>
  <c r="AF35" i="5"/>
  <c r="AI35" i="5" s="1"/>
  <c r="AF36" i="5"/>
  <c r="AI36" i="5" s="1"/>
  <c r="AF37" i="5"/>
  <c r="AI37" i="5" s="1"/>
  <c r="AF38" i="5"/>
  <c r="AI38" i="5" s="1"/>
  <c r="AF39" i="5"/>
  <c r="AI39" i="5" s="1"/>
  <c r="AF40" i="5"/>
  <c r="AI40" i="5" s="1"/>
  <c r="AF41" i="5"/>
  <c r="AI41" i="5" s="1"/>
  <c r="AF42" i="5"/>
  <c r="AI42" i="5" s="1"/>
  <c r="AF43" i="5"/>
  <c r="AI43" i="5" s="1"/>
  <c r="AF44" i="5"/>
  <c r="AI44" i="5" s="1"/>
  <c r="AF45" i="5"/>
  <c r="AI45" i="5" s="1"/>
  <c r="AF46" i="5"/>
  <c r="AI46" i="5" s="1"/>
  <c r="AF47" i="5"/>
  <c r="AI47" i="5" s="1"/>
  <c r="AF48" i="5"/>
  <c r="AI48" i="5" s="1"/>
  <c r="AF49" i="5"/>
  <c r="AI49" i="5" s="1"/>
  <c r="AF50" i="5"/>
  <c r="AI50" i="5" s="1"/>
  <c r="AF51" i="5"/>
  <c r="AI51" i="5" s="1"/>
  <c r="AF52" i="5"/>
  <c r="AI52" i="5" s="1"/>
  <c r="AF53" i="5"/>
  <c r="AI53" i="5" s="1"/>
  <c r="AF54" i="5"/>
  <c r="AI54" i="5" s="1"/>
  <c r="AF55" i="5"/>
  <c r="AI55" i="5" s="1"/>
  <c r="AF56" i="5"/>
  <c r="AI56" i="5" s="1"/>
  <c r="AF57" i="5"/>
  <c r="AI57" i="5" s="1"/>
  <c r="AF58" i="5"/>
  <c r="AI58" i="5" s="1"/>
  <c r="AF59" i="5"/>
  <c r="AI59" i="5" s="1"/>
  <c r="AF60" i="5"/>
  <c r="AI60" i="5" s="1"/>
  <c r="AF61" i="5"/>
  <c r="AI61" i="5" s="1"/>
  <c r="AF62" i="5"/>
  <c r="AI62" i="5" s="1"/>
  <c r="AF63" i="5"/>
  <c r="AI63" i="5" s="1"/>
  <c r="AF64" i="5"/>
  <c r="AI64" i="5" s="1"/>
  <c r="AF65" i="5"/>
  <c r="AI65" i="5" s="1"/>
  <c r="AF66" i="5"/>
  <c r="AI66" i="5" s="1"/>
  <c r="AF67" i="5"/>
  <c r="AI67" i="5" s="1"/>
  <c r="AF68" i="5"/>
  <c r="AI68" i="5" s="1"/>
  <c r="AF69" i="5"/>
  <c r="AI69" i="5" s="1"/>
  <c r="AF70" i="5"/>
  <c r="AI70" i="5" s="1"/>
  <c r="AF71" i="5"/>
  <c r="AI71" i="5" s="1"/>
  <c r="AF72" i="5"/>
  <c r="AI72" i="5" s="1"/>
  <c r="AF73" i="5"/>
  <c r="AI73" i="5" s="1"/>
  <c r="AF74" i="5"/>
  <c r="AI74" i="5" s="1"/>
  <c r="AF75" i="5"/>
  <c r="AI75" i="5" s="1"/>
  <c r="AF76" i="5"/>
  <c r="AI76" i="5" s="1"/>
  <c r="AF77" i="5"/>
  <c r="AI77" i="5" s="1"/>
  <c r="AF78" i="5"/>
  <c r="AI78" i="5" s="1"/>
  <c r="AF79" i="5"/>
  <c r="AI79" i="5" s="1"/>
  <c r="AF80" i="5"/>
  <c r="AI80" i="5" s="1"/>
  <c r="AF81" i="5"/>
  <c r="AI81" i="5" s="1"/>
  <c r="AF82" i="5"/>
  <c r="AI82" i="5" s="1"/>
  <c r="AF83" i="5"/>
  <c r="AI83" i="5" s="1"/>
  <c r="AF84" i="5"/>
  <c r="AI84" i="5" s="1"/>
  <c r="AF85" i="5"/>
  <c r="AI85" i="5" s="1"/>
  <c r="AF86" i="5"/>
  <c r="AI86" i="5" s="1"/>
  <c r="AF87" i="5"/>
  <c r="AI87" i="5" s="1"/>
  <c r="AF88" i="5"/>
  <c r="AI88" i="5" s="1"/>
  <c r="AF89" i="5"/>
  <c r="AI89" i="5" s="1"/>
  <c r="AF90" i="5"/>
  <c r="AI90" i="5" s="1"/>
  <c r="AF91" i="5"/>
  <c r="AI91" i="5" s="1"/>
  <c r="AF92" i="5"/>
  <c r="AI92" i="5" s="1"/>
  <c r="AF93" i="5"/>
  <c r="AI93" i="5" s="1"/>
  <c r="AF94" i="5"/>
  <c r="AI94" i="5" s="1"/>
  <c r="AF95" i="5"/>
  <c r="AI95" i="5" s="1"/>
  <c r="AF96" i="5"/>
  <c r="AI96" i="5" s="1"/>
  <c r="AF97" i="5"/>
  <c r="AI97" i="5" s="1"/>
  <c r="AF98" i="5"/>
  <c r="AI98" i="5" s="1"/>
  <c r="AF99" i="5"/>
  <c r="AI99" i="5" s="1"/>
  <c r="AF100" i="5"/>
  <c r="AI100" i="5" s="1"/>
  <c r="AF101" i="5"/>
  <c r="AI101" i="5" s="1"/>
  <c r="AF102" i="5"/>
  <c r="AI102" i="5" s="1"/>
  <c r="AF103" i="5"/>
  <c r="AI103" i="5" s="1"/>
  <c r="AF104" i="5"/>
  <c r="AI104" i="5" s="1"/>
  <c r="AF105" i="5"/>
  <c r="AI105" i="5" s="1"/>
  <c r="AF106" i="5"/>
  <c r="AI106" i="5" s="1"/>
  <c r="AF107" i="5"/>
  <c r="AI107" i="5" s="1"/>
  <c r="AF108" i="5"/>
  <c r="AI108" i="5" s="1"/>
  <c r="AF109" i="5"/>
  <c r="AI109" i="5" s="1"/>
  <c r="AF110" i="5"/>
  <c r="AI110" i="5" s="1"/>
  <c r="AF111" i="5"/>
  <c r="AI111" i="5" s="1"/>
  <c r="AF112" i="5"/>
  <c r="AI112" i="5" s="1"/>
  <c r="AF113" i="5"/>
  <c r="AI113" i="5" s="1"/>
  <c r="AF114" i="5"/>
  <c r="AI114" i="5" s="1"/>
  <c r="AF115" i="5"/>
  <c r="AI115" i="5" s="1"/>
  <c r="AF116" i="5"/>
  <c r="AI116" i="5" s="1"/>
  <c r="AF117" i="5"/>
  <c r="AI117" i="5" s="1"/>
  <c r="AF118" i="5"/>
  <c r="AI118" i="5" s="1"/>
  <c r="AF119" i="5"/>
  <c r="AI119" i="5" s="1"/>
  <c r="AF120" i="5"/>
  <c r="AI120" i="5" s="1"/>
  <c r="AF121" i="5"/>
  <c r="AI121" i="5" s="1"/>
  <c r="AF122" i="5"/>
  <c r="AI122" i="5" s="1"/>
  <c r="AF123" i="5"/>
  <c r="AI123" i="5" s="1"/>
  <c r="AF124" i="5"/>
  <c r="AI124" i="5" s="1"/>
  <c r="AF125" i="5"/>
  <c r="AI125" i="5" s="1"/>
  <c r="AF126" i="5"/>
  <c r="AI126" i="5" s="1"/>
  <c r="AF127" i="5"/>
  <c r="AI127" i="5" s="1"/>
  <c r="AF128" i="5"/>
  <c r="AI128" i="5" s="1"/>
  <c r="AF129" i="5"/>
  <c r="AI129" i="5" s="1"/>
  <c r="AF130" i="5"/>
  <c r="AI130" i="5" s="1"/>
  <c r="AF131" i="5"/>
  <c r="AI131" i="5" s="1"/>
  <c r="AF132" i="5"/>
  <c r="AI132" i="5" s="1"/>
  <c r="AF133" i="5"/>
  <c r="AI133" i="5" s="1"/>
  <c r="AF134" i="5"/>
  <c r="AI134" i="5" s="1"/>
  <c r="AI5" i="5" s="1"/>
  <c r="AF135" i="5"/>
  <c r="AI135" i="5" s="1"/>
  <c r="AF136" i="5"/>
  <c r="AI136" i="5" s="1"/>
  <c r="AF137" i="5"/>
  <c r="AI137" i="5" s="1"/>
  <c r="AF138" i="5"/>
  <c r="AI138" i="5" s="1"/>
  <c r="AF139" i="5"/>
  <c r="AI139" i="5" s="1"/>
  <c r="AF140" i="5"/>
  <c r="AI140" i="5" s="1"/>
  <c r="AF141" i="5"/>
  <c r="AI141" i="5" s="1"/>
  <c r="AF142" i="5"/>
  <c r="AI142" i="5" s="1"/>
  <c r="AF143" i="5"/>
  <c r="AI143" i="5" s="1"/>
  <c r="AF144" i="5"/>
  <c r="AI144" i="5" s="1"/>
  <c r="AF145" i="5"/>
  <c r="AI145" i="5" s="1"/>
  <c r="AF146" i="5"/>
  <c r="AI146" i="5" s="1"/>
  <c r="AF147" i="5"/>
  <c r="AI147" i="5" s="1"/>
  <c r="AF148" i="5"/>
  <c r="AI148" i="5" s="1"/>
  <c r="AF149" i="5"/>
  <c r="AI149" i="5" s="1"/>
  <c r="AF150" i="5"/>
  <c r="AI150" i="5" s="1"/>
  <c r="AF151" i="5"/>
  <c r="AI151" i="5" s="1"/>
  <c r="AF152" i="5"/>
  <c r="AI152" i="5" s="1"/>
  <c r="AF153" i="5"/>
  <c r="AI153" i="5" s="1"/>
  <c r="AF154" i="5"/>
  <c r="AI154" i="5" s="1"/>
  <c r="AF155" i="5"/>
  <c r="AI155" i="5" s="1"/>
  <c r="AF156" i="5"/>
  <c r="AI156" i="5" s="1"/>
  <c r="AF157" i="5"/>
  <c r="AI157" i="5" s="1"/>
  <c r="AF158" i="5"/>
  <c r="AI158" i="5" s="1"/>
  <c r="AF159" i="5"/>
  <c r="AI159" i="5" s="1"/>
  <c r="AF160" i="5"/>
  <c r="AI160" i="5" s="1"/>
  <c r="AF161" i="5"/>
  <c r="AI161" i="5" s="1"/>
  <c r="AF162" i="5"/>
  <c r="AI162" i="5" s="1"/>
  <c r="AF163" i="5"/>
  <c r="AI163" i="5" s="1"/>
  <c r="AF164" i="5"/>
  <c r="AI164" i="5" s="1"/>
  <c r="AF165" i="5"/>
  <c r="AI165" i="5" s="1"/>
  <c r="AF166" i="5"/>
  <c r="AI166" i="5" s="1"/>
  <c r="AF167" i="5"/>
  <c r="AI167" i="5" s="1"/>
  <c r="AF168" i="5"/>
  <c r="AI168" i="5" s="1"/>
  <c r="AF169" i="5"/>
  <c r="AI169" i="5" s="1"/>
  <c r="AF170" i="5"/>
  <c r="AI170" i="5" s="1"/>
  <c r="AF171" i="5"/>
  <c r="AI171" i="5" s="1"/>
  <c r="AF172" i="5"/>
  <c r="AI172" i="5" s="1"/>
  <c r="AF173" i="5"/>
  <c r="AI173" i="5" s="1"/>
  <c r="AF174" i="5"/>
  <c r="AI174" i="5" s="1"/>
  <c r="AF175" i="5"/>
  <c r="AI175" i="5" s="1"/>
  <c r="AF176" i="5"/>
  <c r="AI176" i="5" s="1"/>
  <c r="AF177" i="5"/>
  <c r="AI177" i="5" s="1"/>
  <c r="AF178" i="5"/>
  <c r="AI178" i="5" s="1"/>
  <c r="AF179" i="5"/>
  <c r="AI179" i="5" s="1"/>
  <c r="AF180" i="5"/>
  <c r="AI180" i="5" s="1"/>
  <c r="AF181" i="5"/>
  <c r="AI181" i="5" s="1"/>
  <c r="AG10" i="5"/>
  <c r="AF10" i="5"/>
  <c r="AI8" i="5" l="1"/>
  <c r="AI6" i="5"/>
  <c r="AI7" i="5"/>
  <c r="X8" i="5"/>
  <c r="X6" i="5"/>
  <c r="X5" i="5"/>
  <c r="AK5" i="5"/>
  <c r="F5" i="5" s="1"/>
  <c r="AL5" i="5"/>
  <c r="AK6" i="5"/>
  <c r="F6" i="5" s="1"/>
  <c r="D10" i="7" s="1"/>
  <c r="AL6" i="5"/>
  <c r="AD6" i="5"/>
  <c r="AD5" i="5"/>
  <c r="Y6" i="5"/>
  <c r="Y5" i="5"/>
  <c r="AJ18" i="5"/>
  <c r="AJ30" i="5"/>
  <c r="AJ42" i="5"/>
  <c r="AJ54" i="5"/>
  <c r="AJ66" i="5"/>
  <c r="AJ78" i="5"/>
  <c r="AJ90" i="5"/>
  <c r="AJ102" i="5"/>
  <c r="AJ114" i="5"/>
  <c r="AJ126" i="5"/>
  <c r="AJ138" i="5"/>
  <c r="AJ150" i="5"/>
  <c r="AJ162" i="5"/>
  <c r="AJ174" i="5"/>
  <c r="AH38" i="5"/>
  <c r="AH50" i="5"/>
  <c r="AH86" i="5"/>
  <c r="AH98" i="5"/>
  <c r="AH134" i="5"/>
  <c r="AH146" i="5"/>
  <c r="AH10" i="5"/>
  <c r="AJ11" i="5"/>
  <c r="AJ12" i="5"/>
  <c r="AJ13" i="5"/>
  <c r="AJ14" i="5"/>
  <c r="AJ15" i="5"/>
  <c r="AJ16" i="5"/>
  <c r="AJ17" i="5"/>
  <c r="AJ19" i="5"/>
  <c r="AJ20" i="5"/>
  <c r="AJ21" i="5"/>
  <c r="AJ22" i="5"/>
  <c r="AJ23" i="5"/>
  <c r="AJ24" i="5"/>
  <c r="AJ25" i="5"/>
  <c r="AJ26" i="5"/>
  <c r="AJ27" i="5"/>
  <c r="AJ28" i="5"/>
  <c r="AJ29" i="5"/>
  <c r="AJ31" i="5"/>
  <c r="AJ32" i="5"/>
  <c r="AJ33" i="5"/>
  <c r="AJ34" i="5"/>
  <c r="AJ35" i="5"/>
  <c r="AJ36" i="5"/>
  <c r="AJ37" i="5"/>
  <c r="AJ38" i="5"/>
  <c r="AJ39" i="5"/>
  <c r="AJ40" i="5"/>
  <c r="AJ41" i="5"/>
  <c r="AJ43" i="5"/>
  <c r="AJ44" i="5"/>
  <c r="AJ45" i="5"/>
  <c r="AJ46" i="5"/>
  <c r="AJ47" i="5"/>
  <c r="AJ48" i="5"/>
  <c r="AJ49" i="5"/>
  <c r="AJ50" i="5"/>
  <c r="AJ51" i="5"/>
  <c r="AJ52" i="5"/>
  <c r="AJ53" i="5"/>
  <c r="AJ55" i="5"/>
  <c r="AJ56" i="5"/>
  <c r="AJ57" i="5"/>
  <c r="AJ58" i="5"/>
  <c r="AJ59" i="5"/>
  <c r="AJ60" i="5"/>
  <c r="AJ61" i="5"/>
  <c r="AJ62" i="5"/>
  <c r="AJ63" i="5"/>
  <c r="AJ64" i="5"/>
  <c r="AJ65" i="5"/>
  <c r="AJ67" i="5"/>
  <c r="AJ68" i="5"/>
  <c r="AJ69" i="5"/>
  <c r="AJ70" i="5"/>
  <c r="AJ71" i="5"/>
  <c r="AJ72" i="5"/>
  <c r="AJ73" i="5"/>
  <c r="AJ74" i="5"/>
  <c r="AJ75" i="5"/>
  <c r="AJ76" i="5"/>
  <c r="AJ77" i="5"/>
  <c r="AJ79" i="5"/>
  <c r="AJ80" i="5"/>
  <c r="AJ81" i="5"/>
  <c r="AJ82" i="5"/>
  <c r="AJ83" i="5"/>
  <c r="AJ84" i="5"/>
  <c r="AJ85" i="5"/>
  <c r="AJ86" i="5"/>
  <c r="AJ87" i="5"/>
  <c r="AJ88" i="5"/>
  <c r="AJ89" i="5"/>
  <c r="AJ91" i="5"/>
  <c r="AJ92" i="5"/>
  <c r="AJ93" i="5"/>
  <c r="AJ94" i="5"/>
  <c r="AJ95" i="5"/>
  <c r="AJ96" i="5"/>
  <c r="AJ97" i="5"/>
  <c r="AJ98" i="5"/>
  <c r="AJ99" i="5"/>
  <c r="AJ100" i="5"/>
  <c r="AJ101" i="5"/>
  <c r="AJ103" i="5"/>
  <c r="AJ104" i="5"/>
  <c r="AJ105" i="5"/>
  <c r="AJ106" i="5"/>
  <c r="AJ107" i="5"/>
  <c r="AJ108" i="5"/>
  <c r="AJ109" i="5"/>
  <c r="AJ110" i="5"/>
  <c r="AJ111" i="5"/>
  <c r="AJ112" i="5"/>
  <c r="AJ113" i="5"/>
  <c r="AJ115" i="5"/>
  <c r="AJ116" i="5"/>
  <c r="AJ117" i="5"/>
  <c r="AJ118" i="5"/>
  <c r="AJ119" i="5"/>
  <c r="AJ120" i="5"/>
  <c r="AJ121" i="5"/>
  <c r="AJ122" i="5"/>
  <c r="AJ123" i="5"/>
  <c r="AJ124" i="5"/>
  <c r="AJ125" i="5"/>
  <c r="AJ127" i="5"/>
  <c r="AJ128" i="5"/>
  <c r="AJ129" i="5"/>
  <c r="AJ130" i="5"/>
  <c r="AJ131" i="5"/>
  <c r="AJ132" i="5"/>
  <c r="AJ133" i="5"/>
  <c r="AJ134" i="5"/>
  <c r="AJ135" i="5"/>
  <c r="AJ136" i="5"/>
  <c r="AJ137" i="5"/>
  <c r="AJ139" i="5"/>
  <c r="AJ140" i="5"/>
  <c r="AJ141" i="5"/>
  <c r="AJ142" i="5"/>
  <c r="AJ143" i="5"/>
  <c r="AJ144" i="5"/>
  <c r="AJ145" i="5"/>
  <c r="AJ146" i="5"/>
  <c r="AJ147" i="5"/>
  <c r="AJ148" i="5"/>
  <c r="AJ149" i="5"/>
  <c r="AJ151" i="5"/>
  <c r="AJ152" i="5"/>
  <c r="AJ153" i="5"/>
  <c r="AJ154" i="5"/>
  <c r="AJ155" i="5"/>
  <c r="AJ156" i="5"/>
  <c r="AJ157" i="5"/>
  <c r="AJ158" i="5"/>
  <c r="AJ159" i="5"/>
  <c r="AJ160" i="5"/>
  <c r="AJ161" i="5"/>
  <c r="AJ163" i="5"/>
  <c r="AJ164" i="5"/>
  <c r="AJ165" i="5"/>
  <c r="AJ166" i="5"/>
  <c r="AJ167" i="5"/>
  <c r="AJ168" i="5"/>
  <c r="AJ169" i="5"/>
  <c r="AJ170" i="5"/>
  <c r="AJ171" i="5"/>
  <c r="AJ172" i="5"/>
  <c r="AJ173" i="5"/>
  <c r="AJ175" i="5"/>
  <c r="AJ176" i="5"/>
  <c r="AJ177" i="5"/>
  <c r="AJ178" i="5"/>
  <c r="AJ179" i="5"/>
  <c r="AJ180" i="5"/>
  <c r="AJ181" i="5"/>
  <c r="AJ10" i="5"/>
  <c r="AE11" i="5"/>
  <c r="AE12" i="5"/>
  <c r="AE13" i="5"/>
  <c r="AE14" i="5"/>
  <c r="AE15" i="5"/>
  <c r="AE16" i="5"/>
  <c r="AE17" i="5"/>
  <c r="AE18" i="5"/>
  <c r="AE19" i="5"/>
  <c r="AE20" i="5"/>
  <c r="AE21" i="5"/>
  <c r="AE22" i="5"/>
  <c r="AE23" i="5"/>
  <c r="AE24" i="5"/>
  <c r="AE25" i="5"/>
  <c r="AE26" i="5"/>
  <c r="AH26" i="5" s="1"/>
  <c r="AE27" i="5"/>
  <c r="AE28" i="5"/>
  <c r="AE29" i="5"/>
  <c r="AE30" i="5"/>
  <c r="AE31" i="5"/>
  <c r="AE32" i="5"/>
  <c r="AE33" i="5"/>
  <c r="AE34" i="5"/>
  <c r="AE35" i="5"/>
  <c r="AE36" i="5"/>
  <c r="AE37" i="5"/>
  <c r="AE38" i="5"/>
  <c r="AE39" i="5"/>
  <c r="AE40" i="5"/>
  <c r="AE41" i="5"/>
  <c r="AE42" i="5"/>
  <c r="AE43" i="5"/>
  <c r="AE44" i="5"/>
  <c r="AE45" i="5"/>
  <c r="AE46" i="5"/>
  <c r="AE47" i="5"/>
  <c r="AE48" i="5"/>
  <c r="AE49" i="5"/>
  <c r="AE50" i="5"/>
  <c r="AE51" i="5"/>
  <c r="AE52" i="5"/>
  <c r="AE53" i="5"/>
  <c r="AE54" i="5"/>
  <c r="AE55" i="5"/>
  <c r="AE56" i="5"/>
  <c r="AE57" i="5"/>
  <c r="AE58" i="5"/>
  <c r="AE59" i="5"/>
  <c r="AE60" i="5"/>
  <c r="AE61" i="5"/>
  <c r="AE62" i="5"/>
  <c r="AE63" i="5"/>
  <c r="AE64" i="5"/>
  <c r="AE65" i="5"/>
  <c r="AE66" i="5"/>
  <c r="AE67" i="5"/>
  <c r="AE68" i="5"/>
  <c r="AE69" i="5"/>
  <c r="AE70" i="5"/>
  <c r="AE71" i="5"/>
  <c r="AE72" i="5"/>
  <c r="AE73" i="5"/>
  <c r="AE74" i="5"/>
  <c r="AH74" i="5" s="1"/>
  <c r="AE75" i="5"/>
  <c r="AE76" i="5"/>
  <c r="AE77" i="5"/>
  <c r="AE78" i="5"/>
  <c r="AE79" i="5"/>
  <c r="AE80" i="5"/>
  <c r="AE81" i="5"/>
  <c r="AE82" i="5"/>
  <c r="AE83" i="5"/>
  <c r="AE84" i="5"/>
  <c r="AE85" i="5"/>
  <c r="AE86" i="5"/>
  <c r="AE87" i="5"/>
  <c r="AE88" i="5"/>
  <c r="AE89" i="5"/>
  <c r="AE90" i="5"/>
  <c r="AE91" i="5"/>
  <c r="AE92" i="5"/>
  <c r="AE93" i="5"/>
  <c r="AE94" i="5"/>
  <c r="AE95" i="5"/>
  <c r="AE96" i="5"/>
  <c r="AE97" i="5"/>
  <c r="AE98" i="5"/>
  <c r="AE99" i="5"/>
  <c r="AE100" i="5"/>
  <c r="AE101" i="5"/>
  <c r="AE102" i="5"/>
  <c r="AE103" i="5"/>
  <c r="AE104" i="5"/>
  <c r="AE105" i="5"/>
  <c r="AE106" i="5"/>
  <c r="AE107" i="5"/>
  <c r="AE108" i="5"/>
  <c r="AE109" i="5"/>
  <c r="AE110" i="5"/>
  <c r="AE111" i="5"/>
  <c r="AE112" i="5"/>
  <c r="AE113" i="5"/>
  <c r="AE114" i="5"/>
  <c r="AE115" i="5"/>
  <c r="AE116" i="5"/>
  <c r="AE117" i="5"/>
  <c r="AE118" i="5"/>
  <c r="AE119" i="5"/>
  <c r="AE120" i="5"/>
  <c r="AE121" i="5"/>
  <c r="AE122" i="5"/>
  <c r="AH122" i="5" s="1"/>
  <c r="AE123" i="5"/>
  <c r="AE124" i="5"/>
  <c r="AE125" i="5"/>
  <c r="AE126" i="5"/>
  <c r="AE127" i="5"/>
  <c r="AE128" i="5"/>
  <c r="AE129" i="5"/>
  <c r="AE130" i="5"/>
  <c r="AE131" i="5"/>
  <c r="AE132" i="5"/>
  <c r="AE133" i="5"/>
  <c r="AE134" i="5"/>
  <c r="AE135" i="5"/>
  <c r="AE136" i="5"/>
  <c r="AE137" i="5"/>
  <c r="AE138" i="5"/>
  <c r="AE139" i="5"/>
  <c r="AE140" i="5"/>
  <c r="AE141" i="5"/>
  <c r="AE142" i="5"/>
  <c r="AE143" i="5"/>
  <c r="AE144" i="5"/>
  <c r="AE145" i="5"/>
  <c r="AE146" i="5"/>
  <c r="AE147" i="5"/>
  <c r="AE148" i="5"/>
  <c r="AE149" i="5"/>
  <c r="AE150" i="5"/>
  <c r="AE151" i="5"/>
  <c r="AE152" i="5"/>
  <c r="AE153" i="5"/>
  <c r="AE154" i="5"/>
  <c r="AE155" i="5"/>
  <c r="AE156" i="5"/>
  <c r="AE157" i="5"/>
  <c r="AE158" i="5"/>
  <c r="AE159" i="5"/>
  <c r="AE160" i="5"/>
  <c r="AE161" i="5"/>
  <c r="AE162" i="5"/>
  <c r="AE163" i="5"/>
  <c r="AE164" i="5"/>
  <c r="AE165" i="5"/>
  <c r="AE166" i="5"/>
  <c r="AE167" i="5"/>
  <c r="AE168" i="5"/>
  <c r="AE169" i="5"/>
  <c r="AE170" i="5"/>
  <c r="AH170" i="5" s="1"/>
  <c r="AE171" i="5"/>
  <c r="AE172" i="5"/>
  <c r="AE173" i="5"/>
  <c r="AE174" i="5"/>
  <c r="AE175" i="5"/>
  <c r="AE176" i="5"/>
  <c r="AE177" i="5"/>
  <c r="AE178" i="5"/>
  <c r="AE179" i="5"/>
  <c r="AE180" i="5"/>
  <c r="AE181" i="5"/>
  <c r="AE10" i="5"/>
  <c r="V21" i="5"/>
  <c r="V62" i="5"/>
  <c r="V138" i="5"/>
  <c r="V166" i="5"/>
  <c r="V10" i="5"/>
  <c r="N16" i="5"/>
  <c r="N28" i="5"/>
  <c r="N64" i="5"/>
  <c r="N76" i="5"/>
  <c r="N112" i="5"/>
  <c r="N124" i="5"/>
  <c r="N160" i="5"/>
  <c r="N172" i="5"/>
  <c r="M11" i="5"/>
  <c r="M12" i="5"/>
  <c r="M13" i="5"/>
  <c r="M14" i="5"/>
  <c r="M15" i="5"/>
  <c r="M16" i="5"/>
  <c r="M17" i="5"/>
  <c r="M18" i="5"/>
  <c r="M19" i="5"/>
  <c r="M20" i="5"/>
  <c r="M21" i="5"/>
  <c r="M22" i="5"/>
  <c r="M23" i="5"/>
  <c r="M24" i="5"/>
  <c r="M25" i="5"/>
  <c r="M26" i="5"/>
  <c r="M27" i="5"/>
  <c r="M28" i="5"/>
  <c r="M29" i="5"/>
  <c r="M30" i="5"/>
  <c r="M31" i="5"/>
  <c r="M32" i="5"/>
  <c r="M33" i="5"/>
  <c r="M34" i="5"/>
  <c r="M35" i="5"/>
  <c r="M36" i="5"/>
  <c r="M37" i="5"/>
  <c r="M38" i="5"/>
  <c r="M39" i="5"/>
  <c r="M40" i="5"/>
  <c r="M41" i="5"/>
  <c r="M42" i="5"/>
  <c r="M43" i="5"/>
  <c r="M44" i="5"/>
  <c r="M45" i="5"/>
  <c r="M46" i="5"/>
  <c r="M47" i="5"/>
  <c r="M48" i="5"/>
  <c r="M49" i="5"/>
  <c r="M50" i="5"/>
  <c r="M51" i="5"/>
  <c r="M52" i="5"/>
  <c r="M53" i="5"/>
  <c r="M54" i="5"/>
  <c r="M55" i="5"/>
  <c r="M56" i="5"/>
  <c r="M57" i="5"/>
  <c r="M58" i="5"/>
  <c r="M59" i="5"/>
  <c r="M60" i="5"/>
  <c r="M61" i="5"/>
  <c r="M62" i="5"/>
  <c r="M63" i="5"/>
  <c r="M64" i="5"/>
  <c r="M65" i="5"/>
  <c r="M66" i="5"/>
  <c r="M67" i="5"/>
  <c r="M68" i="5"/>
  <c r="M69" i="5"/>
  <c r="M70" i="5"/>
  <c r="M71" i="5"/>
  <c r="M72" i="5"/>
  <c r="M73" i="5"/>
  <c r="M74" i="5"/>
  <c r="M75" i="5"/>
  <c r="M76" i="5"/>
  <c r="M77" i="5"/>
  <c r="M78" i="5"/>
  <c r="M79" i="5"/>
  <c r="M80" i="5"/>
  <c r="M81" i="5"/>
  <c r="M82" i="5"/>
  <c r="M83" i="5"/>
  <c r="M84" i="5"/>
  <c r="M85" i="5"/>
  <c r="M86" i="5"/>
  <c r="M87" i="5"/>
  <c r="M88" i="5"/>
  <c r="M89" i="5"/>
  <c r="M90" i="5"/>
  <c r="M91" i="5"/>
  <c r="M92" i="5"/>
  <c r="M93" i="5"/>
  <c r="M94" i="5"/>
  <c r="M95" i="5"/>
  <c r="M96" i="5"/>
  <c r="M97" i="5"/>
  <c r="M98" i="5"/>
  <c r="M99" i="5"/>
  <c r="M100" i="5"/>
  <c r="M101" i="5"/>
  <c r="M102" i="5"/>
  <c r="M103" i="5"/>
  <c r="M104" i="5"/>
  <c r="M105" i="5"/>
  <c r="M106" i="5"/>
  <c r="M107" i="5"/>
  <c r="M108" i="5"/>
  <c r="M109" i="5"/>
  <c r="M110" i="5"/>
  <c r="M111" i="5"/>
  <c r="M112" i="5"/>
  <c r="M113" i="5"/>
  <c r="M114" i="5"/>
  <c r="M115" i="5"/>
  <c r="M116" i="5"/>
  <c r="M117" i="5"/>
  <c r="M118" i="5"/>
  <c r="M119" i="5"/>
  <c r="M120" i="5"/>
  <c r="M121" i="5"/>
  <c r="M122" i="5"/>
  <c r="M123" i="5"/>
  <c r="M124" i="5"/>
  <c r="M125" i="5"/>
  <c r="M126" i="5"/>
  <c r="M127" i="5"/>
  <c r="M128" i="5"/>
  <c r="M129" i="5"/>
  <c r="M130" i="5"/>
  <c r="M131" i="5"/>
  <c r="M132" i="5"/>
  <c r="M133" i="5"/>
  <c r="M134" i="5"/>
  <c r="M135" i="5"/>
  <c r="M136" i="5"/>
  <c r="M137" i="5"/>
  <c r="M138" i="5"/>
  <c r="M139" i="5"/>
  <c r="M140" i="5"/>
  <c r="M141" i="5"/>
  <c r="M142" i="5"/>
  <c r="M143" i="5"/>
  <c r="M144" i="5"/>
  <c r="M145" i="5"/>
  <c r="M146" i="5"/>
  <c r="M147" i="5"/>
  <c r="M148" i="5"/>
  <c r="M149" i="5"/>
  <c r="M150" i="5"/>
  <c r="M151" i="5"/>
  <c r="M152" i="5"/>
  <c r="M153" i="5"/>
  <c r="M154" i="5"/>
  <c r="M155" i="5"/>
  <c r="M156" i="5"/>
  <c r="M157" i="5"/>
  <c r="M158" i="5"/>
  <c r="M159" i="5"/>
  <c r="M160" i="5"/>
  <c r="M161" i="5"/>
  <c r="M162" i="5"/>
  <c r="M163" i="5"/>
  <c r="M164" i="5"/>
  <c r="M165" i="5"/>
  <c r="M166" i="5"/>
  <c r="M167" i="5"/>
  <c r="M168" i="5"/>
  <c r="M169" i="5"/>
  <c r="M170" i="5"/>
  <c r="M171" i="5"/>
  <c r="M172" i="5"/>
  <c r="M173" i="5"/>
  <c r="M174" i="5"/>
  <c r="M175" i="5"/>
  <c r="M176" i="5"/>
  <c r="M177" i="5"/>
  <c r="M178" i="5"/>
  <c r="M179" i="5"/>
  <c r="M180" i="5"/>
  <c r="M181" i="5"/>
  <c r="M10" i="5"/>
  <c r="L11" i="5"/>
  <c r="N11" i="5" s="1"/>
  <c r="L12" i="5"/>
  <c r="L13" i="5"/>
  <c r="N13" i="5" s="1"/>
  <c r="L14" i="5"/>
  <c r="N14" i="5" s="1"/>
  <c r="L15" i="5"/>
  <c r="N15" i="5" s="1"/>
  <c r="L16" i="5"/>
  <c r="L17" i="5"/>
  <c r="N17" i="5" s="1"/>
  <c r="L18" i="5"/>
  <c r="N18" i="5" s="1"/>
  <c r="L19" i="5"/>
  <c r="L20" i="5"/>
  <c r="N20" i="5" s="1"/>
  <c r="L21" i="5"/>
  <c r="L22" i="5"/>
  <c r="L23" i="5"/>
  <c r="N23" i="5" s="1"/>
  <c r="L24" i="5"/>
  <c r="L25" i="5"/>
  <c r="N25" i="5" s="1"/>
  <c r="L26" i="5"/>
  <c r="N26" i="5" s="1"/>
  <c r="L27" i="5"/>
  <c r="N27" i="5" s="1"/>
  <c r="L28" i="5"/>
  <c r="L29" i="5"/>
  <c r="N29" i="5" s="1"/>
  <c r="L30" i="5"/>
  <c r="N30" i="5" s="1"/>
  <c r="L31" i="5"/>
  <c r="L32" i="5"/>
  <c r="N32" i="5" s="1"/>
  <c r="L33" i="5"/>
  <c r="L34" i="5"/>
  <c r="L35" i="5"/>
  <c r="L36" i="5"/>
  <c r="L37" i="5"/>
  <c r="N37" i="5" s="1"/>
  <c r="L38" i="5"/>
  <c r="N38" i="5" s="1"/>
  <c r="L39" i="5"/>
  <c r="N39" i="5" s="1"/>
  <c r="L40" i="5"/>
  <c r="N40" i="5" s="1"/>
  <c r="L41" i="5"/>
  <c r="N41" i="5" s="1"/>
  <c r="L42" i="5"/>
  <c r="N42" i="5" s="1"/>
  <c r="L43" i="5"/>
  <c r="L44" i="5"/>
  <c r="N44" i="5" s="1"/>
  <c r="L45" i="5"/>
  <c r="L46" i="5"/>
  <c r="L47" i="5"/>
  <c r="N47" i="5" s="1"/>
  <c r="L48" i="5"/>
  <c r="L49" i="5"/>
  <c r="N49" i="5" s="1"/>
  <c r="L50" i="5"/>
  <c r="N50" i="5" s="1"/>
  <c r="L51" i="5"/>
  <c r="N51" i="5" s="1"/>
  <c r="L52" i="5"/>
  <c r="N52" i="5" s="1"/>
  <c r="L53" i="5"/>
  <c r="N53" i="5" s="1"/>
  <c r="L54" i="5"/>
  <c r="N54" i="5" s="1"/>
  <c r="L55" i="5"/>
  <c r="L56" i="5"/>
  <c r="N56" i="5" s="1"/>
  <c r="L57" i="5"/>
  <c r="L58" i="5"/>
  <c r="L59" i="5"/>
  <c r="N59" i="5" s="1"/>
  <c r="L60" i="5"/>
  <c r="L61" i="5"/>
  <c r="N61" i="5" s="1"/>
  <c r="L62" i="5"/>
  <c r="N62" i="5" s="1"/>
  <c r="L63" i="5"/>
  <c r="N63" i="5" s="1"/>
  <c r="L64" i="5"/>
  <c r="L65" i="5"/>
  <c r="N65" i="5" s="1"/>
  <c r="L66" i="5"/>
  <c r="N66" i="5" s="1"/>
  <c r="L67" i="5"/>
  <c r="L68" i="5"/>
  <c r="N68" i="5" s="1"/>
  <c r="L69" i="5"/>
  <c r="L70" i="5"/>
  <c r="L71" i="5"/>
  <c r="N71" i="5" s="1"/>
  <c r="L72" i="5"/>
  <c r="L73" i="5"/>
  <c r="N73" i="5" s="1"/>
  <c r="L74" i="5"/>
  <c r="N74" i="5" s="1"/>
  <c r="L75" i="5"/>
  <c r="N75" i="5" s="1"/>
  <c r="L76" i="5"/>
  <c r="L77" i="5"/>
  <c r="N77" i="5" s="1"/>
  <c r="L78" i="5"/>
  <c r="N78" i="5" s="1"/>
  <c r="L79" i="5"/>
  <c r="L80" i="5"/>
  <c r="N80" i="5" s="1"/>
  <c r="L81" i="5"/>
  <c r="N81" i="5" s="1"/>
  <c r="L82" i="5"/>
  <c r="L83" i="5"/>
  <c r="N83" i="5" s="1"/>
  <c r="L84" i="5"/>
  <c r="L85" i="5"/>
  <c r="N85" i="5" s="1"/>
  <c r="L86" i="5"/>
  <c r="N86" i="5" s="1"/>
  <c r="L87" i="5"/>
  <c r="N87" i="5" s="1"/>
  <c r="L88" i="5"/>
  <c r="N88" i="5" s="1"/>
  <c r="L89" i="5"/>
  <c r="N89" i="5" s="1"/>
  <c r="L90" i="5"/>
  <c r="N90" i="5" s="1"/>
  <c r="L91" i="5"/>
  <c r="L92" i="5"/>
  <c r="N92" i="5" s="1"/>
  <c r="L93" i="5"/>
  <c r="N93" i="5" s="1"/>
  <c r="L94" i="5"/>
  <c r="L95" i="5"/>
  <c r="N95" i="5" s="1"/>
  <c r="L96" i="5"/>
  <c r="L97" i="5"/>
  <c r="N97" i="5" s="1"/>
  <c r="L98" i="5"/>
  <c r="N98" i="5" s="1"/>
  <c r="L99" i="5"/>
  <c r="N99" i="5" s="1"/>
  <c r="L100" i="5"/>
  <c r="N100" i="5" s="1"/>
  <c r="L101" i="5"/>
  <c r="N101" i="5" s="1"/>
  <c r="L102" i="5"/>
  <c r="N102" i="5" s="1"/>
  <c r="L103" i="5"/>
  <c r="L104" i="5"/>
  <c r="N104" i="5" s="1"/>
  <c r="L105" i="5"/>
  <c r="N105" i="5" s="1"/>
  <c r="L106" i="5"/>
  <c r="L107" i="5"/>
  <c r="N107" i="5" s="1"/>
  <c r="L108" i="5"/>
  <c r="L109" i="5"/>
  <c r="N109" i="5" s="1"/>
  <c r="L110" i="5"/>
  <c r="N110" i="5" s="1"/>
  <c r="L111" i="5"/>
  <c r="N111" i="5" s="1"/>
  <c r="L112" i="5"/>
  <c r="L113" i="5"/>
  <c r="N113" i="5" s="1"/>
  <c r="L114" i="5"/>
  <c r="N114" i="5" s="1"/>
  <c r="L115" i="5"/>
  <c r="L116" i="5"/>
  <c r="N116" i="5" s="1"/>
  <c r="L117" i="5"/>
  <c r="N117" i="5" s="1"/>
  <c r="L118" i="5"/>
  <c r="L119" i="5"/>
  <c r="N119" i="5" s="1"/>
  <c r="L120" i="5"/>
  <c r="L121" i="5"/>
  <c r="N121" i="5" s="1"/>
  <c r="L122" i="5"/>
  <c r="N122" i="5" s="1"/>
  <c r="L123" i="5"/>
  <c r="N123" i="5" s="1"/>
  <c r="L124" i="5"/>
  <c r="L125" i="5"/>
  <c r="N125" i="5" s="1"/>
  <c r="L126" i="5"/>
  <c r="N126" i="5" s="1"/>
  <c r="L127" i="5"/>
  <c r="L128" i="5"/>
  <c r="N128" i="5" s="1"/>
  <c r="L129" i="5"/>
  <c r="N129" i="5" s="1"/>
  <c r="L130" i="5"/>
  <c r="L131" i="5"/>
  <c r="N131" i="5" s="1"/>
  <c r="L132" i="5"/>
  <c r="L133" i="5"/>
  <c r="N133" i="5" s="1"/>
  <c r="L134" i="5"/>
  <c r="N134" i="5" s="1"/>
  <c r="L135" i="5"/>
  <c r="N135" i="5" s="1"/>
  <c r="L136" i="5"/>
  <c r="N136" i="5" s="1"/>
  <c r="L137" i="5"/>
  <c r="N137" i="5" s="1"/>
  <c r="L138" i="5"/>
  <c r="N138" i="5" s="1"/>
  <c r="L139" i="5"/>
  <c r="L140" i="5"/>
  <c r="N140" i="5" s="1"/>
  <c r="L141" i="5"/>
  <c r="N141" i="5" s="1"/>
  <c r="L142" i="5"/>
  <c r="L143" i="5"/>
  <c r="N143" i="5" s="1"/>
  <c r="L144" i="5"/>
  <c r="L145" i="5"/>
  <c r="N145" i="5" s="1"/>
  <c r="L146" i="5"/>
  <c r="N146" i="5" s="1"/>
  <c r="L147" i="5"/>
  <c r="N147" i="5" s="1"/>
  <c r="L148" i="5"/>
  <c r="N148" i="5" s="1"/>
  <c r="L149" i="5"/>
  <c r="N149" i="5" s="1"/>
  <c r="L150" i="5"/>
  <c r="N150" i="5" s="1"/>
  <c r="L151" i="5"/>
  <c r="L152" i="5"/>
  <c r="N152" i="5" s="1"/>
  <c r="L153" i="5"/>
  <c r="N153" i="5" s="1"/>
  <c r="L154" i="5"/>
  <c r="L155" i="5"/>
  <c r="N155" i="5" s="1"/>
  <c r="L156" i="5"/>
  <c r="L157" i="5"/>
  <c r="N157" i="5" s="1"/>
  <c r="L158" i="5"/>
  <c r="N158" i="5" s="1"/>
  <c r="L159" i="5"/>
  <c r="N159" i="5" s="1"/>
  <c r="L160" i="5"/>
  <c r="L161" i="5"/>
  <c r="N161" i="5" s="1"/>
  <c r="L162" i="5"/>
  <c r="N162" i="5" s="1"/>
  <c r="L163" i="5"/>
  <c r="L164" i="5"/>
  <c r="N164" i="5" s="1"/>
  <c r="L165" i="5"/>
  <c r="N165" i="5" s="1"/>
  <c r="L166" i="5"/>
  <c r="L167" i="5"/>
  <c r="N167" i="5" s="1"/>
  <c r="L168" i="5"/>
  <c r="L169" i="5"/>
  <c r="N169" i="5" s="1"/>
  <c r="L170" i="5"/>
  <c r="N170" i="5" s="1"/>
  <c r="L171" i="5"/>
  <c r="N171" i="5" s="1"/>
  <c r="L172" i="5"/>
  <c r="L173" i="5"/>
  <c r="N173" i="5" s="1"/>
  <c r="L174" i="5"/>
  <c r="N174" i="5" s="1"/>
  <c r="L175" i="5"/>
  <c r="L176" i="5"/>
  <c r="N176" i="5" s="1"/>
  <c r="L177" i="5"/>
  <c r="N177" i="5" s="1"/>
  <c r="L178" i="5"/>
  <c r="L179" i="5"/>
  <c r="N179" i="5" s="1"/>
  <c r="L180" i="5"/>
  <c r="L181" i="5"/>
  <c r="N181" i="5" s="1"/>
  <c r="L10" i="5"/>
  <c r="N10" i="5" s="1"/>
  <c r="Q21" i="5"/>
  <c r="R21" i="5"/>
  <c r="Q62" i="5"/>
  <c r="R62" i="5"/>
  <c r="Q138" i="5"/>
  <c r="R138" i="5"/>
  <c r="U138" i="5" s="1"/>
  <c r="Q166" i="5"/>
  <c r="U166" i="5" s="1"/>
  <c r="R166" i="5"/>
  <c r="R10" i="5"/>
  <c r="Q10" i="5"/>
  <c r="T168" i="5"/>
  <c r="R168" i="5" s="1"/>
  <c r="T169" i="5"/>
  <c r="R169" i="5" s="1"/>
  <c r="T170" i="5"/>
  <c r="R170" i="5" s="1"/>
  <c r="T171" i="5"/>
  <c r="R171" i="5" s="1"/>
  <c r="T172" i="5"/>
  <c r="R172" i="5" s="1"/>
  <c r="T173" i="5"/>
  <c r="R173" i="5" s="1"/>
  <c r="T174" i="5"/>
  <c r="R174" i="5" s="1"/>
  <c r="T175" i="5"/>
  <c r="R175" i="5" s="1"/>
  <c r="T176" i="5"/>
  <c r="R176" i="5" s="1"/>
  <c r="T177" i="5"/>
  <c r="R177" i="5" s="1"/>
  <c r="T178" i="5"/>
  <c r="R178" i="5" s="1"/>
  <c r="T179" i="5"/>
  <c r="R179" i="5" s="1"/>
  <c r="T180" i="5"/>
  <c r="R180" i="5" s="1"/>
  <c r="T181" i="5"/>
  <c r="R181" i="5" s="1"/>
  <c r="T167" i="5"/>
  <c r="R167" i="5" s="1"/>
  <c r="T140" i="5"/>
  <c r="R140" i="5" s="1"/>
  <c r="T141" i="5"/>
  <c r="R141" i="5" s="1"/>
  <c r="T142" i="5"/>
  <c r="R142" i="5" s="1"/>
  <c r="T143" i="5"/>
  <c r="R143" i="5" s="1"/>
  <c r="T144" i="5"/>
  <c r="R144" i="5" s="1"/>
  <c r="T145" i="5"/>
  <c r="R145" i="5" s="1"/>
  <c r="T146" i="5"/>
  <c r="R146" i="5" s="1"/>
  <c r="T147" i="5"/>
  <c r="R147" i="5" s="1"/>
  <c r="T148" i="5"/>
  <c r="R148" i="5" s="1"/>
  <c r="T149" i="5"/>
  <c r="R149" i="5" s="1"/>
  <c r="T150" i="5"/>
  <c r="R150" i="5" s="1"/>
  <c r="T151" i="5"/>
  <c r="R151" i="5" s="1"/>
  <c r="T152" i="5"/>
  <c r="R152" i="5" s="1"/>
  <c r="T153" i="5"/>
  <c r="R153" i="5" s="1"/>
  <c r="T154" i="5"/>
  <c r="R154" i="5" s="1"/>
  <c r="T155" i="5"/>
  <c r="R155" i="5" s="1"/>
  <c r="T156" i="5"/>
  <c r="R156" i="5" s="1"/>
  <c r="T157" i="5"/>
  <c r="R157" i="5" s="1"/>
  <c r="T158" i="5"/>
  <c r="R158" i="5" s="1"/>
  <c r="T159" i="5"/>
  <c r="R159" i="5" s="1"/>
  <c r="T160" i="5"/>
  <c r="R160" i="5" s="1"/>
  <c r="T161" i="5"/>
  <c r="R161" i="5" s="1"/>
  <c r="T162" i="5"/>
  <c r="R162" i="5" s="1"/>
  <c r="T163" i="5"/>
  <c r="R163" i="5" s="1"/>
  <c r="T164" i="5"/>
  <c r="R164" i="5" s="1"/>
  <c r="T165" i="5"/>
  <c r="R165" i="5" s="1"/>
  <c r="T139" i="5"/>
  <c r="R139" i="5" s="1"/>
  <c r="T88" i="5"/>
  <c r="R88" i="5" s="1"/>
  <c r="T89" i="5"/>
  <c r="R89" i="5" s="1"/>
  <c r="T90" i="5"/>
  <c r="R90" i="5" s="1"/>
  <c r="T91" i="5"/>
  <c r="R91" i="5" s="1"/>
  <c r="T92" i="5"/>
  <c r="R92" i="5" s="1"/>
  <c r="T93" i="5"/>
  <c r="R93" i="5" s="1"/>
  <c r="T94" i="5"/>
  <c r="R94" i="5" s="1"/>
  <c r="T95" i="5"/>
  <c r="R95" i="5" s="1"/>
  <c r="T96" i="5"/>
  <c r="R96" i="5" s="1"/>
  <c r="T97" i="5"/>
  <c r="R97" i="5" s="1"/>
  <c r="T98" i="5"/>
  <c r="R98" i="5" s="1"/>
  <c r="T99" i="5"/>
  <c r="R99" i="5" s="1"/>
  <c r="T100" i="5"/>
  <c r="R100" i="5" s="1"/>
  <c r="T101" i="5"/>
  <c r="R101" i="5" s="1"/>
  <c r="T102" i="5"/>
  <c r="R102" i="5" s="1"/>
  <c r="T103" i="5"/>
  <c r="R103" i="5" s="1"/>
  <c r="T104" i="5"/>
  <c r="R104" i="5" s="1"/>
  <c r="T105" i="5"/>
  <c r="R105" i="5" s="1"/>
  <c r="T106" i="5"/>
  <c r="R106" i="5" s="1"/>
  <c r="T107" i="5"/>
  <c r="R107" i="5" s="1"/>
  <c r="T108" i="5"/>
  <c r="R108" i="5" s="1"/>
  <c r="T109" i="5"/>
  <c r="R109" i="5" s="1"/>
  <c r="T110" i="5"/>
  <c r="R110" i="5" s="1"/>
  <c r="T111" i="5"/>
  <c r="R111" i="5" s="1"/>
  <c r="T112" i="5"/>
  <c r="R112" i="5" s="1"/>
  <c r="T113" i="5"/>
  <c r="R113" i="5" s="1"/>
  <c r="T114" i="5"/>
  <c r="R114" i="5" s="1"/>
  <c r="T115" i="5"/>
  <c r="R115" i="5" s="1"/>
  <c r="T116" i="5"/>
  <c r="R116" i="5" s="1"/>
  <c r="T117" i="5"/>
  <c r="R117" i="5" s="1"/>
  <c r="T118" i="5"/>
  <c r="R118" i="5" s="1"/>
  <c r="T119" i="5"/>
  <c r="R119" i="5" s="1"/>
  <c r="T120" i="5"/>
  <c r="R120" i="5" s="1"/>
  <c r="T121" i="5"/>
  <c r="R121" i="5" s="1"/>
  <c r="T122" i="5"/>
  <c r="R122" i="5" s="1"/>
  <c r="T123" i="5"/>
  <c r="R123" i="5" s="1"/>
  <c r="T124" i="5"/>
  <c r="R124" i="5" s="1"/>
  <c r="T125" i="5"/>
  <c r="R125" i="5" s="1"/>
  <c r="T126" i="5"/>
  <c r="R126" i="5" s="1"/>
  <c r="T127" i="5"/>
  <c r="R127" i="5" s="1"/>
  <c r="T128" i="5"/>
  <c r="R128" i="5" s="1"/>
  <c r="T129" i="5"/>
  <c r="R129" i="5" s="1"/>
  <c r="T130" i="5"/>
  <c r="R130" i="5" s="1"/>
  <c r="T131" i="5"/>
  <c r="R131" i="5" s="1"/>
  <c r="T132" i="5"/>
  <c r="R132" i="5" s="1"/>
  <c r="T133" i="5"/>
  <c r="R133" i="5" s="1"/>
  <c r="T134" i="5"/>
  <c r="R134" i="5" s="1"/>
  <c r="T135" i="5"/>
  <c r="R135" i="5" s="1"/>
  <c r="T136" i="5"/>
  <c r="R136" i="5" s="1"/>
  <c r="T137" i="5"/>
  <c r="R137" i="5" s="1"/>
  <c r="T65" i="5"/>
  <c r="R65" i="5" s="1"/>
  <c r="T66" i="5"/>
  <c r="R66" i="5" s="1"/>
  <c r="T67" i="5"/>
  <c r="R67" i="5" s="1"/>
  <c r="T68" i="5"/>
  <c r="R68" i="5" s="1"/>
  <c r="T69" i="5"/>
  <c r="R69" i="5" s="1"/>
  <c r="T70" i="5"/>
  <c r="R70" i="5" s="1"/>
  <c r="T71" i="5"/>
  <c r="R71" i="5" s="1"/>
  <c r="T72" i="5"/>
  <c r="R72" i="5" s="1"/>
  <c r="T73" i="5"/>
  <c r="R73" i="5" s="1"/>
  <c r="T74" i="5"/>
  <c r="R74" i="5" s="1"/>
  <c r="T75" i="5"/>
  <c r="R75" i="5" s="1"/>
  <c r="T76" i="5"/>
  <c r="R76" i="5" s="1"/>
  <c r="T77" i="5"/>
  <c r="R77" i="5" s="1"/>
  <c r="T78" i="5"/>
  <c r="R78" i="5" s="1"/>
  <c r="T79" i="5"/>
  <c r="R79" i="5" s="1"/>
  <c r="T80" i="5"/>
  <c r="R80" i="5" s="1"/>
  <c r="T81" i="5"/>
  <c r="R81" i="5" s="1"/>
  <c r="T82" i="5"/>
  <c r="R82" i="5" s="1"/>
  <c r="T83" i="5"/>
  <c r="R83" i="5" s="1"/>
  <c r="T84" i="5"/>
  <c r="R84" i="5" s="1"/>
  <c r="T85" i="5"/>
  <c r="R85" i="5" s="1"/>
  <c r="T86" i="5"/>
  <c r="R86" i="5" s="1"/>
  <c r="T87" i="5"/>
  <c r="R87" i="5" s="1"/>
  <c r="T63" i="5"/>
  <c r="R63" i="5" s="1"/>
  <c r="T64" i="5"/>
  <c r="R64" i="5" s="1"/>
  <c r="T23" i="5"/>
  <c r="R23" i="5" s="1"/>
  <c r="T24" i="5"/>
  <c r="R24" i="5" s="1"/>
  <c r="T25" i="5"/>
  <c r="R25" i="5" s="1"/>
  <c r="T26" i="5"/>
  <c r="R26" i="5" s="1"/>
  <c r="T27" i="5"/>
  <c r="R27" i="5" s="1"/>
  <c r="T28" i="5"/>
  <c r="R28" i="5" s="1"/>
  <c r="T29" i="5"/>
  <c r="R29" i="5" s="1"/>
  <c r="T30" i="5"/>
  <c r="R30" i="5" s="1"/>
  <c r="T31" i="5"/>
  <c r="R31" i="5" s="1"/>
  <c r="T32" i="5"/>
  <c r="R32" i="5" s="1"/>
  <c r="T33" i="5"/>
  <c r="R33" i="5" s="1"/>
  <c r="T34" i="5"/>
  <c r="R34" i="5" s="1"/>
  <c r="T35" i="5"/>
  <c r="R35" i="5" s="1"/>
  <c r="T36" i="5"/>
  <c r="R36" i="5" s="1"/>
  <c r="T37" i="5"/>
  <c r="R37" i="5" s="1"/>
  <c r="T38" i="5"/>
  <c r="R38" i="5" s="1"/>
  <c r="T39" i="5"/>
  <c r="R39" i="5" s="1"/>
  <c r="T40" i="5"/>
  <c r="R40" i="5" s="1"/>
  <c r="T41" i="5"/>
  <c r="R41" i="5" s="1"/>
  <c r="T42" i="5"/>
  <c r="R42" i="5" s="1"/>
  <c r="T43" i="5"/>
  <c r="R43" i="5" s="1"/>
  <c r="T44" i="5"/>
  <c r="R44" i="5" s="1"/>
  <c r="T45" i="5"/>
  <c r="R45" i="5" s="1"/>
  <c r="T46" i="5"/>
  <c r="R46" i="5" s="1"/>
  <c r="T47" i="5"/>
  <c r="R47" i="5" s="1"/>
  <c r="T48" i="5"/>
  <c r="R48" i="5" s="1"/>
  <c r="T49" i="5"/>
  <c r="R49" i="5" s="1"/>
  <c r="T50" i="5"/>
  <c r="R50" i="5" s="1"/>
  <c r="T51" i="5"/>
  <c r="R51" i="5" s="1"/>
  <c r="T52" i="5"/>
  <c r="R52" i="5" s="1"/>
  <c r="T53" i="5"/>
  <c r="R53" i="5" s="1"/>
  <c r="T54" i="5"/>
  <c r="R54" i="5" s="1"/>
  <c r="T55" i="5"/>
  <c r="R55" i="5" s="1"/>
  <c r="T56" i="5"/>
  <c r="R56" i="5" s="1"/>
  <c r="T57" i="5"/>
  <c r="R57" i="5" s="1"/>
  <c r="T58" i="5"/>
  <c r="R58" i="5" s="1"/>
  <c r="T59" i="5"/>
  <c r="R59" i="5" s="1"/>
  <c r="T60" i="5"/>
  <c r="R60" i="5" s="1"/>
  <c r="T61" i="5"/>
  <c r="R61" i="5" s="1"/>
  <c r="T22" i="5"/>
  <c r="R22" i="5" s="1"/>
  <c r="T12" i="5"/>
  <c r="R12" i="5" s="1"/>
  <c r="T13" i="5"/>
  <c r="R13" i="5" s="1"/>
  <c r="T14" i="5"/>
  <c r="R14" i="5" s="1"/>
  <c r="T15" i="5"/>
  <c r="R15" i="5" s="1"/>
  <c r="T16" i="5"/>
  <c r="R16" i="5" s="1"/>
  <c r="T17" i="5"/>
  <c r="R17" i="5" s="1"/>
  <c r="T18" i="5"/>
  <c r="R18" i="5" s="1"/>
  <c r="T19" i="5"/>
  <c r="R19" i="5" s="1"/>
  <c r="T20" i="5"/>
  <c r="R20" i="5" s="1"/>
  <c r="T11" i="5"/>
  <c r="R11" i="5" s="1"/>
  <c r="S168" i="5"/>
  <c r="Q168" i="5" s="1"/>
  <c r="S169" i="5"/>
  <c r="Q169" i="5" s="1"/>
  <c r="S170" i="5"/>
  <c r="Q170" i="5" s="1"/>
  <c r="S171" i="5"/>
  <c r="Q171" i="5" s="1"/>
  <c r="U171" i="5" s="1"/>
  <c r="S172" i="5"/>
  <c r="Q172" i="5" s="1"/>
  <c r="S173" i="5"/>
  <c r="Q173" i="5" s="1"/>
  <c r="S174" i="5"/>
  <c r="Q174" i="5" s="1"/>
  <c r="S175" i="5"/>
  <c r="Q175" i="5" s="1"/>
  <c r="S176" i="5"/>
  <c r="Q176" i="5" s="1"/>
  <c r="S177" i="5"/>
  <c r="Q177" i="5" s="1"/>
  <c r="S178" i="5"/>
  <c r="Q178" i="5" s="1"/>
  <c r="S179" i="5"/>
  <c r="Q179" i="5" s="1"/>
  <c r="S180" i="5"/>
  <c r="Q180" i="5" s="1"/>
  <c r="S181" i="5"/>
  <c r="Q181" i="5" s="1"/>
  <c r="S167" i="5"/>
  <c r="Q167" i="5" s="1"/>
  <c r="S140" i="5"/>
  <c r="Q140" i="5" s="1"/>
  <c r="S141" i="5"/>
  <c r="Q141" i="5" s="1"/>
  <c r="S142" i="5"/>
  <c r="Q142" i="5" s="1"/>
  <c r="U142" i="5" s="1"/>
  <c r="S143" i="5"/>
  <c r="Q143" i="5" s="1"/>
  <c r="S144" i="5"/>
  <c r="Q144" i="5" s="1"/>
  <c r="S145" i="5"/>
  <c r="Q145" i="5" s="1"/>
  <c r="S146" i="5"/>
  <c r="Q146" i="5" s="1"/>
  <c r="S147" i="5"/>
  <c r="Q147" i="5" s="1"/>
  <c r="S148" i="5"/>
  <c r="Q148" i="5" s="1"/>
  <c r="S149" i="5"/>
  <c r="Q149" i="5" s="1"/>
  <c r="S150" i="5"/>
  <c r="Q150" i="5" s="1"/>
  <c r="S151" i="5"/>
  <c r="Q151" i="5" s="1"/>
  <c r="S152" i="5"/>
  <c r="Q152" i="5" s="1"/>
  <c r="S153" i="5"/>
  <c r="Q153" i="5" s="1"/>
  <c r="S154" i="5"/>
  <c r="Q154" i="5" s="1"/>
  <c r="U154" i="5" s="1"/>
  <c r="S155" i="5"/>
  <c r="Q155" i="5" s="1"/>
  <c r="S156" i="5"/>
  <c r="Q156" i="5" s="1"/>
  <c r="S157" i="5"/>
  <c r="Q157" i="5" s="1"/>
  <c r="S158" i="5"/>
  <c r="Q158" i="5" s="1"/>
  <c r="S159" i="5"/>
  <c r="Q159" i="5" s="1"/>
  <c r="S160" i="5"/>
  <c r="Q160" i="5" s="1"/>
  <c r="S161" i="5"/>
  <c r="Q161" i="5" s="1"/>
  <c r="S162" i="5"/>
  <c r="Q162" i="5" s="1"/>
  <c r="S163" i="5"/>
  <c r="Q163" i="5" s="1"/>
  <c r="S164" i="5"/>
  <c r="Q164" i="5" s="1"/>
  <c r="S165" i="5"/>
  <c r="Q165" i="5" s="1"/>
  <c r="S139" i="5"/>
  <c r="Q139" i="5" s="1"/>
  <c r="S64" i="5"/>
  <c r="Q64" i="5" s="1"/>
  <c r="S65" i="5"/>
  <c r="Q65" i="5" s="1"/>
  <c r="S66" i="5"/>
  <c r="Q66" i="5" s="1"/>
  <c r="S67" i="5"/>
  <c r="Q67" i="5" s="1"/>
  <c r="S68" i="5"/>
  <c r="Q68" i="5" s="1"/>
  <c r="S69" i="5"/>
  <c r="Q69" i="5" s="1"/>
  <c r="S70" i="5"/>
  <c r="Q70" i="5" s="1"/>
  <c r="S71" i="5"/>
  <c r="Q71" i="5" s="1"/>
  <c r="S72" i="5"/>
  <c r="Q72" i="5" s="1"/>
  <c r="S73" i="5"/>
  <c r="Q73" i="5" s="1"/>
  <c r="S74" i="5"/>
  <c r="Q74" i="5" s="1"/>
  <c r="S75" i="5"/>
  <c r="Q75" i="5" s="1"/>
  <c r="S76" i="5"/>
  <c r="Q76" i="5" s="1"/>
  <c r="S77" i="5"/>
  <c r="Q77" i="5" s="1"/>
  <c r="S78" i="5"/>
  <c r="Q78" i="5" s="1"/>
  <c r="S79" i="5"/>
  <c r="Q79" i="5" s="1"/>
  <c r="S80" i="5"/>
  <c r="Q80" i="5" s="1"/>
  <c r="S81" i="5"/>
  <c r="Q81" i="5" s="1"/>
  <c r="S82" i="5"/>
  <c r="Q82" i="5" s="1"/>
  <c r="S83" i="5"/>
  <c r="Q83" i="5" s="1"/>
  <c r="S84" i="5"/>
  <c r="Q84" i="5" s="1"/>
  <c r="S85" i="5"/>
  <c r="Q85" i="5" s="1"/>
  <c r="S86" i="5"/>
  <c r="Q86" i="5" s="1"/>
  <c r="S87" i="5"/>
  <c r="Q87" i="5" s="1"/>
  <c r="S88" i="5"/>
  <c r="Q88" i="5" s="1"/>
  <c r="S89" i="5"/>
  <c r="Q89" i="5" s="1"/>
  <c r="S90" i="5"/>
  <c r="Q90" i="5" s="1"/>
  <c r="S91" i="5"/>
  <c r="Q91" i="5" s="1"/>
  <c r="S92" i="5"/>
  <c r="Q92" i="5" s="1"/>
  <c r="S93" i="5"/>
  <c r="Q93" i="5" s="1"/>
  <c r="S94" i="5"/>
  <c r="Q94" i="5" s="1"/>
  <c r="S95" i="5"/>
  <c r="Q95" i="5" s="1"/>
  <c r="S96" i="5"/>
  <c r="Q96" i="5" s="1"/>
  <c r="S97" i="5"/>
  <c r="Q97" i="5" s="1"/>
  <c r="S98" i="5"/>
  <c r="Q98" i="5" s="1"/>
  <c r="S99" i="5"/>
  <c r="Q99" i="5" s="1"/>
  <c r="S100" i="5"/>
  <c r="Q100" i="5" s="1"/>
  <c r="S101" i="5"/>
  <c r="Q101" i="5" s="1"/>
  <c r="S102" i="5"/>
  <c r="Q102" i="5" s="1"/>
  <c r="S103" i="5"/>
  <c r="Q103" i="5" s="1"/>
  <c r="S104" i="5"/>
  <c r="Q104" i="5" s="1"/>
  <c r="S105" i="5"/>
  <c r="Q105" i="5" s="1"/>
  <c r="S106" i="5"/>
  <c r="Q106" i="5" s="1"/>
  <c r="S107" i="5"/>
  <c r="Q107" i="5" s="1"/>
  <c r="S108" i="5"/>
  <c r="Q108" i="5" s="1"/>
  <c r="S109" i="5"/>
  <c r="Q109" i="5" s="1"/>
  <c r="S110" i="5"/>
  <c r="Q110" i="5" s="1"/>
  <c r="S111" i="5"/>
  <c r="Q111" i="5" s="1"/>
  <c r="S112" i="5"/>
  <c r="Q112" i="5" s="1"/>
  <c r="S113" i="5"/>
  <c r="Q113" i="5" s="1"/>
  <c r="S114" i="5"/>
  <c r="Q114" i="5" s="1"/>
  <c r="S115" i="5"/>
  <c r="Q115" i="5" s="1"/>
  <c r="S116" i="5"/>
  <c r="Q116" i="5" s="1"/>
  <c r="S117" i="5"/>
  <c r="Q117" i="5" s="1"/>
  <c r="S118" i="5"/>
  <c r="Q118" i="5" s="1"/>
  <c r="S119" i="5"/>
  <c r="Q119" i="5" s="1"/>
  <c r="S120" i="5"/>
  <c r="Q120" i="5" s="1"/>
  <c r="S121" i="5"/>
  <c r="Q121" i="5" s="1"/>
  <c r="S122" i="5"/>
  <c r="Q122" i="5" s="1"/>
  <c r="S123" i="5"/>
  <c r="Q123" i="5" s="1"/>
  <c r="S124" i="5"/>
  <c r="Q124" i="5" s="1"/>
  <c r="S125" i="5"/>
  <c r="Q125" i="5" s="1"/>
  <c r="S126" i="5"/>
  <c r="Q126" i="5" s="1"/>
  <c r="S127" i="5"/>
  <c r="Q127" i="5" s="1"/>
  <c r="S128" i="5"/>
  <c r="Q128" i="5" s="1"/>
  <c r="S129" i="5"/>
  <c r="Q129" i="5" s="1"/>
  <c r="S130" i="5"/>
  <c r="Q130" i="5" s="1"/>
  <c r="S131" i="5"/>
  <c r="Q131" i="5" s="1"/>
  <c r="S132" i="5"/>
  <c r="Q132" i="5" s="1"/>
  <c r="S133" i="5"/>
  <c r="Q133" i="5" s="1"/>
  <c r="S134" i="5"/>
  <c r="Q134" i="5" s="1"/>
  <c r="S135" i="5"/>
  <c r="Q135" i="5" s="1"/>
  <c r="S136" i="5"/>
  <c r="Q136" i="5" s="1"/>
  <c r="S137" i="5"/>
  <c r="Q137" i="5" s="1"/>
  <c r="S63" i="5"/>
  <c r="Q63" i="5" s="1"/>
  <c r="U63" i="5" s="1"/>
  <c r="S23" i="5"/>
  <c r="Q23" i="5" s="1"/>
  <c r="S24" i="5"/>
  <c r="Q24" i="5" s="1"/>
  <c r="S25" i="5"/>
  <c r="Q25" i="5" s="1"/>
  <c r="S26" i="5"/>
  <c r="Q26" i="5" s="1"/>
  <c r="S27" i="5"/>
  <c r="Q27" i="5" s="1"/>
  <c r="S28" i="5"/>
  <c r="Q28" i="5" s="1"/>
  <c r="S29" i="5"/>
  <c r="Q29" i="5" s="1"/>
  <c r="S30" i="5"/>
  <c r="Q30" i="5" s="1"/>
  <c r="S31" i="5"/>
  <c r="Q31" i="5" s="1"/>
  <c r="S32" i="5"/>
  <c r="Q32" i="5" s="1"/>
  <c r="S33" i="5"/>
  <c r="Q33" i="5" s="1"/>
  <c r="S34" i="5"/>
  <c r="Q34" i="5" s="1"/>
  <c r="S35" i="5"/>
  <c r="Q35" i="5" s="1"/>
  <c r="S36" i="5"/>
  <c r="Q36" i="5" s="1"/>
  <c r="S37" i="5"/>
  <c r="Q37" i="5" s="1"/>
  <c r="S38" i="5"/>
  <c r="Q38" i="5" s="1"/>
  <c r="S39" i="5"/>
  <c r="Q39" i="5" s="1"/>
  <c r="S40" i="5"/>
  <c r="Q40" i="5" s="1"/>
  <c r="S41" i="5"/>
  <c r="Q41" i="5" s="1"/>
  <c r="S42" i="5"/>
  <c r="Q42" i="5" s="1"/>
  <c r="S43" i="5"/>
  <c r="Q43" i="5" s="1"/>
  <c r="S44" i="5"/>
  <c r="Q44" i="5" s="1"/>
  <c r="S45" i="5"/>
  <c r="Q45" i="5" s="1"/>
  <c r="S46" i="5"/>
  <c r="Q46" i="5" s="1"/>
  <c r="S47" i="5"/>
  <c r="Q47" i="5" s="1"/>
  <c r="S48" i="5"/>
  <c r="Q48" i="5" s="1"/>
  <c r="S49" i="5"/>
  <c r="Q49" i="5" s="1"/>
  <c r="S50" i="5"/>
  <c r="Q50" i="5" s="1"/>
  <c r="S51" i="5"/>
  <c r="Q51" i="5" s="1"/>
  <c r="S52" i="5"/>
  <c r="Q52" i="5" s="1"/>
  <c r="S53" i="5"/>
  <c r="Q53" i="5" s="1"/>
  <c r="S54" i="5"/>
  <c r="Q54" i="5" s="1"/>
  <c r="S55" i="5"/>
  <c r="Q55" i="5" s="1"/>
  <c r="S56" i="5"/>
  <c r="Q56" i="5" s="1"/>
  <c r="S57" i="5"/>
  <c r="Q57" i="5" s="1"/>
  <c r="S58" i="5"/>
  <c r="Q58" i="5" s="1"/>
  <c r="S59" i="5"/>
  <c r="Q59" i="5" s="1"/>
  <c r="S60" i="5"/>
  <c r="Q60" i="5" s="1"/>
  <c r="S61" i="5"/>
  <c r="Q61" i="5" s="1"/>
  <c r="S22" i="5"/>
  <c r="Q22" i="5" s="1"/>
  <c r="S12" i="5"/>
  <c r="Q12" i="5" s="1"/>
  <c r="S13" i="5"/>
  <c r="Q13" i="5" s="1"/>
  <c r="S14" i="5"/>
  <c r="Q14" i="5" s="1"/>
  <c r="S15" i="5"/>
  <c r="Q15" i="5" s="1"/>
  <c r="S16" i="5"/>
  <c r="Q16" i="5" s="1"/>
  <c r="U16" i="5" s="1"/>
  <c r="S17" i="5"/>
  <c r="Q17" i="5" s="1"/>
  <c r="S18" i="5"/>
  <c r="Q18" i="5" s="1"/>
  <c r="S19" i="5"/>
  <c r="Q19" i="5" s="1"/>
  <c r="S20" i="5"/>
  <c r="Q20" i="5" s="1"/>
  <c r="S11" i="5"/>
  <c r="Q11" i="5" s="1"/>
  <c r="Y8" i="5"/>
  <c r="AD8" i="5"/>
  <c r="AK8" i="5"/>
  <c r="F8" i="5" s="1"/>
  <c r="AL8" i="5"/>
  <c r="F3" i="4"/>
  <c r="L17" i="7" s="1"/>
  <c r="AH181" i="5" l="1"/>
  <c r="AP181" i="5"/>
  <c r="AO181" i="5"/>
  <c r="AH177" i="5"/>
  <c r="AP177" i="5"/>
  <c r="AO177" i="5"/>
  <c r="AH173" i="5"/>
  <c r="AP173" i="5"/>
  <c r="AO173" i="5"/>
  <c r="AH169" i="5"/>
  <c r="AP169" i="5"/>
  <c r="AO169" i="5"/>
  <c r="AH165" i="5"/>
  <c r="AP165" i="5"/>
  <c r="AO165" i="5"/>
  <c r="AH161" i="5"/>
  <c r="AP161" i="5"/>
  <c r="AO161" i="5"/>
  <c r="AH157" i="5"/>
  <c r="AP157" i="5"/>
  <c r="AO157" i="5"/>
  <c r="AH153" i="5"/>
  <c r="AP153" i="5"/>
  <c r="AO153" i="5"/>
  <c r="AH149" i="5"/>
  <c r="AP149" i="5"/>
  <c r="AO149" i="5"/>
  <c r="AH145" i="5"/>
  <c r="AP145" i="5"/>
  <c r="AO145" i="5"/>
  <c r="AH141" i="5"/>
  <c r="AP141" i="5"/>
  <c r="AO141" i="5"/>
  <c r="AH137" i="5"/>
  <c r="AP137" i="5"/>
  <c r="AO137" i="5"/>
  <c r="AH133" i="5"/>
  <c r="AP133" i="5"/>
  <c r="AO133" i="5"/>
  <c r="AH129" i="5"/>
  <c r="AP129" i="5"/>
  <c r="AO129" i="5"/>
  <c r="AH125" i="5"/>
  <c r="AP125" i="5"/>
  <c r="AO125" i="5"/>
  <c r="AH121" i="5"/>
  <c r="AP121" i="5"/>
  <c r="AO121" i="5"/>
  <c r="AH117" i="5"/>
  <c r="AP117" i="5"/>
  <c r="AO117" i="5"/>
  <c r="AH113" i="5"/>
  <c r="AP113" i="5"/>
  <c r="AO113" i="5"/>
  <c r="AH109" i="5"/>
  <c r="AP109" i="5"/>
  <c r="AO109" i="5"/>
  <c r="AH105" i="5"/>
  <c r="AP105" i="5"/>
  <c r="AO105" i="5"/>
  <c r="AH101" i="5"/>
  <c r="AP101" i="5"/>
  <c r="AO101" i="5"/>
  <c r="AH97" i="5"/>
  <c r="AP97" i="5"/>
  <c r="AO97" i="5"/>
  <c r="AH93" i="5"/>
  <c r="AP93" i="5"/>
  <c r="AO93" i="5"/>
  <c r="AH89" i="5"/>
  <c r="AP89" i="5"/>
  <c r="AO89" i="5"/>
  <c r="AH85" i="5"/>
  <c r="AP85" i="5"/>
  <c r="AO85" i="5"/>
  <c r="AH81" i="5"/>
  <c r="AP81" i="5"/>
  <c r="AO81" i="5"/>
  <c r="AH77" i="5"/>
  <c r="AP77" i="5"/>
  <c r="AO77" i="5"/>
  <c r="AH73" i="5"/>
  <c r="AP73" i="5"/>
  <c r="AO73" i="5"/>
  <c r="AH69" i="5"/>
  <c r="AP69" i="5"/>
  <c r="AO69" i="5"/>
  <c r="AH65" i="5"/>
  <c r="AP65" i="5"/>
  <c r="AO65" i="5"/>
  <c r="AH61" i="5"/>
  <c r="AP61" i="5"/>
  <c r="AO61" i="5"/>
  <c r="AH57" i="5"/>
  <c r="AP57" i="5"/>
  <c r="AO57" i="5"/>
  <c r="AH53" i="5"/>
  <c r="AP53" i="5"/>
  <c r="AO53" i="5"/>
  <c r="AH49" i="5"/>
  <c r="AP49" i="5"/>
  <c r="AO49" i="5"/>
  <c r="AH45" i="5"/>
  <c r="AP45" i="5"/>
  <c r="AO45" i="5"/>
  <c r="AH41" i="5"/>
  <c r="AP41" i="5"/>
  <c r="AO41" i="5"/>
  <c r="AH37" i="5"/>
  <c r="AP37" i="5"/>
  <c r="AO37" i="5"/>
  <c r="AH33" i="5"/>
  <c r="AP33" i="5"/>
  <c r="AO33" i="5"/>
  <c r="AH29" i="5"/>
  <c r="AP29" i="5"/>
  <c r="AO29" i="5"/>
  <c r="AH25" i="5"/>
  <c r="AP25" i="5"/>
  <c r="AO25" i="5"/>
  <c r="AH21" i="5"/>
  <c r="AP21" i="5"/>
  <c r="AO21" i="5"/>
  <c r="AH17" i="5"/>
  <c r="AP17" i="5"/>
  <c r="AO17" i="5"/>
  <c r="AH13" i="5"/>
  <c r="AP13" i="5"/>
  <c r="AO13" i="5"/>
  <c r="AH180" i="5"/>
  <c r="AP180" i="5"/>
  <c r="AO180" i="5"/>
  <c r="AH176" i="5"/>
  <c r="AP176" i="5"/>
  <c r="AO176" i="5"/>
  <c r="AH172" i="5"/>
  <c r="AP172" i="5"/>
  <c r="AO172" i="5"/>
  <c r="AH168" i="5"/>
  <c r="AP168" i="5"/>
  <c r="AO168" i="5"/>
  <c r="AH164" i="5"/>
  <c r="AP164" i="5"/>
  <c r="AO164" i="5"/>
  <c r="AH160" i="5"/>
  <c r="AP160" i="5"/>
  <c r="AO160" i="5"/>
  <c r="AH156" i="5"/>
  <c r="AP156" i="5"/>
  <c r="AO156" i="5"/>
  <c r="AH152" i="5"/>
  <c r="AP152" i="5"/>
  <c r="AO152" i="5"/>
  <c r="AH148" i="5"/>
  <c r="AP148" i="5"/>
  <c r="AO148" i="5"/>
  <c r="AH144" i="5"/>
  <c r="AP144" i="5"/>
  <c r="AO144" i="5"/>
  <c r="AH140" i="5"/>
  <c r="AP140" i="5"/>
  <c r="AO140" i="5"/>
  <c r="AH136" i="5"/>
  <c r="AP136" i="5"/>
  <c r="AO136" i="5"/>
  <c r="AH132" i="5"/>
  <c r="AP132" i="5"/>
  <c r="AO132" i="5"/>
  <c r="AH128" i="5"/>
  <c r="AP128" i="5"/>
  <c r="AO128" i="5"/>
  <c r="AH124" i="5"/>
  <c r="AP124" i="5"/>
  <c r="AO124" i="5"/>
  <c r="AH120" i="5"/>
  <c r="AP120" i="5"/>
  <c r="AO120" i="5"/>
  <c r="AH116" i="5"/>
  <c r="AP116" i="5"/>
  <c r="AO116" i="5"/>
  <c r="AH112" i="5"/>
  <c r="AP112" i="5"/>
  <c r="AO112" i="5"/>
  <c r="AH108" i="5"/>
  <c r="AP108" i="5"/>
  <c r="AO108" i="5"/>
  <c r="AH104" i="5"/>
  <c r="AP104" i="5"/>
  <c r="AO104" i="5"/>
  <c r="AH100" i="5"/>
  <c r="AP100" i="5"/>
  <c r="AO100" i="5"/>
  <c r="AH96" i="5"/>
  <c r="AP96" i="5"/>
  <c r="AO96" i="5"/>
  <c r="AH92" i="5"/>
  <c r="AP92" i="5"/>
  <c r="AO92" i="5"/>
  <c r="AH88" i="5"/>
  <c r="AP88" i="5"/>
  <c r="AO88" i="5"/>
  <c r="AH84" i="5"/>
  <c r="AP84" i="5"/>
  <c r="AO84" i="5"/>
  <c r="AH80" i="5"/>
  <c r="AP80" i="5"/>
  <c r="AO80" i="5"/>
  <c r="AH76" i="5"/>
  <c r="AP76" i="5"/>
  <c r="AO76" i="5"/>
  <c r="AH72" i="5"/>
  <c r="AP72" i="5"/>
  <c r="AO72" i="5"/>
  <c r="AH68" i="5"/>
  <c r="AP68" i="5"/>
  <c r="AO68" i="5"/>
  <c r="AH64" i="5"/>
  <c r="AP64" i="5"/>
  <c r="AO64" i="5"/>
  <c r="AH60" i="5"/>
  <c r="AP60" i="5"/>
  <c r="AO60" i="5"/>
  <c r="AH56" i="5"/>
  <c r="AP56" i="5"/>
  <c r="AO56" i="5"/>
  <c r="AH52" i="5"/>
  <c r="AP52" i="5"/>
  <c r="AO52" i="5"/>
  <c r="AH48" i="5"/>
  <c r="AP48" i="5"/>
  <c r="AO48" i="5"/>
  <c r="AH44" i="5"/>
  <c r="AP44" i="5"/>
  <c r="AO44" i="5"/>
  <c r="AH40" i="5"/>
  <c r="AP40" i="5"/>
  <c r="AO40" i="5"/>
  <c r="AH36" i="5"/>
  <c r="AP36" i="5"/>
  <c r="AO36" i="5"/>
  <c r="AH32" i="5"/>
  <c r="AP32" i="5"/>
  <c r="AO32" i="5"/>
  <c r="AH28" i="5"/>
  <c r="AP28" i="5"/>
  <c r="AO28" i="5"/>
  <c r="AH24" i="5"/>
  <c r="AP24" i="5"/>
  <c r="AO24" i="5"/>
  <c r="AH20" i="5"/>
  <c r="AP20" i="5"/>
  <c r="AO20" i="5"/>
  <c r="AH16" i="5"/>
  <c r="AP16" i="5"/>
  <c r="AO16" i="5"/>
  <c r="AH12" i="5"/>
  <c r="AP12" i="5"/>
  <c r="AO12" i="5"/>
  <c r="E10" i="7"/>
  <c r="F7" i="5"/>
  <c r="AH179" i="5"/>
  <c r="AP179" i="5"/>
  <c r="AO179" i="5"/>
  <c r="AH175" i="5"/>
  <c r="AP175" i="5"/>
  <c r="AO175" i="5"/>
  <c r="AH171" i="5"/>
  <c r="AP171" i="5"/>
  <c r="AO171" i="5"/>
  <c r="AH167" i="5"/>
  <c r="AP167" i="5"/>
  <c r="AO167" i="5"/>
  <c r="AH163" i="5"/>
  <c r="AP163" i="5"/>
  <c r="AO163" i="5"/>
  <c r="AH159" i="5"/>
  <c r="AP159" i="5"/>
  <c r="AO159" i="5"/>
  <c r="AH155" i="5"/>
  <c r="AP155" i="5"/>
  <c r="AO155" i="5"/>
  <c r="AH151" i="5"/>
  <c r="AP151" i="5"/>
  <c r="AO151" i="5"/>
  <c r="AH147" i="5"/>
  <c r="AP147" i="5"/>
  <c r="AO147" i="5"/>
  <c r="AH143" i="5"/>
  <c r="AP143" i="5"/>
  <c r="AO143" i="5"/>
  <c r="AH139" i="5"/>
  <c r="AP139" i="5"/>
  <c r="AO139" i="5"/>
  <c r="AH135" i="5"/>
  <c r="AP135" i="5"/>
  <c r="AO135" i="5"/>
  <c r="AH131" i="5"/>
  <c r="AP131" i="5"/>
  <c r="AO131" i="5"/>
  <c r="AH127" i="5"/>
  <c r="AP127" i="5"/>
  <c r="AO127" i="5"/>
  <c r="AH123" i="5"/>
  <c r="AP123" i="5"/>
  <c r="AO123" i="5"/>
  <c r="AH119" i="5"/>
  <c r="AP119" i="5"/>
  <c r="AO119" i="5"/>
  <c r="AH115" i="5"/>
  <c r="AP115" i="5"/>
  <c r="AO115" i="5"/>
  <c r="AH111" i="5"/>
  <c r="AP111" i="5"/>
  <c r="AO111" i="5"/>
  <c r="AH107" i="5"/>
  <c r="AP107" i="5"/>
  <c r="AO107" i="5"/>
  <c r="AH103" i="5"/>
  <c r="AP103" i="5"/>
  <c r="AO103" i="5"/>
  <c r="AH99" i="5"/>
  <c r="AP99" i="5"/>
  <c r="AO99" i="5"/>
  <c r="AH95" i="5"/>
  <c r="AP95" i="5"/>
  <c r="AO95" i="5"/>
  <c r="AH91" i="5"/>
  <c r="AP91" i="5"/>
  <c r="AO91" i="5"/>
  <c r="AH87" i="5"/>
  <c r="AP87" i="5"/>
  <c r="AO87" i="5"/>
  <c r="AH83" i="5"/>
  <c r="AP83" i="5"/>
  <c r="AO83" i="5"/>
  <c r="AH79" i="5"/>
  <c r="AP79" i="5"/>
  <c r="AO79" i="5"/>
  <c r="AH75" i="5"/>
  <c r="AP75" i="5"/>
  <c r="AO75" i="5"/>
  <c r="AH71" i="5"/>
  <c r="AP71" i="5"/>
  <c r="AO71" i="5"/>
  <c r="AH67" i="5"/>
  <c r="AP67" i="5"/>
  <c r="AO67" i="5"/>
  <c r="AH63" i="5"/>
  <c r="AP63" i="5"/>
  <c r="AO63" i="5"/>
  <c r="AH59" i="5"/>
  <c r="AP59" i="5"/>
  <c r="AO59" i="5"/>
  <c r="AH55" i="5"/>
  <c r="AP55" i="5"/>
  <c r="AO55" i="5"/>
  <c r="AH51" i="5"/>
  <c r="AP51" i="5"/>
  <c r="AO51" i="5"/>
  <c r="AH47" i="5"/>
  <c r="AP47" i="5"/>
  <c r="AO47" i="5"/>
  <c r="AH43" i="5"/>
  <c r="AP43" i="5"/>
  <c r="AO43" i="5"/>
  <c r="AH39" i="5"/>
  <c r="AP39" i="5"/>
  <c r="AO39" i="5"/>
  <c r="AH35" i="5"/>
  <c r="AP35" i="5"/>
  <c r="AO35" i="5"/>
  <c r="AH31" i="5"/>
  <c r="AP31" i="5"/>
  <c r="AO31" i="5"/>
  <c r="AH27" i="5"/>
  <c r="AP27" i="5"/>
  <c r="AO27" i="5"/>
  <c r="AH23" i="5"/>
  <c r="AP23" i="5"/>
  <c r="AO23" i="5"/>
  <c r="AH19" i="5"/>
  <c r="AP19" i="5"/>
  <c r="AO19" i="5"/>
  <c r="AH15" i="5"/>
  <c r="AP15" i="5"/>
  <c r="AO15" i="5"/>
  <c r="AH11" i="5"/>
  <c r="AH6" i="5" s="1"/>
  <c r="AP11" i="5"/>
  <c r="AO11" i="5"/>
  <c r="U21" i="5"/>
  <c r="AP10" i="5"/>
  <c r="AO10" i="5"/>
  <c r="AH178" i="5"/>
  <c r="AP178" i="5"/>
  <c r="AO178" i="5"/>
  <c r="AH174" i="5"/>
  <c r="AP174" i="5"/>
  <c r="AO174" i="5"/>
  <c r="AP170" i="5"/>
  <c r="AO170" i="5"/>
  <c r="AH166" i="5"/>
  <c r="AP166" i="5"/>
  <c r="AO166" i="5"/>
  <c r="AH162" i="5"/>
  <c r="AP162" i="5"/>
  <c r="AO162" i="5"/>
  <c r="AP158" i="5"/>
  <c r="AO158" i="5"/>
  <c r="AH154" i="5"/>
  <c r="AP154" i="5"/>
  <c r="AO154" i="5"/>
  <c r="AH150" i="5"/>
  <c r="AP150" i="5"/>
  <c r="AO150" i="5"/>
  <c r="AP146" i="5"/>
  <c r="AO146" i="5"/>
  <c r="AH142" i="5"/>
  <c r="AP142" i="5"/>
  <c r="AO142" i="5"/>
  <c r="AH138" i="5"/>
  <c r="AP138" i="5"/>
  <c r="AO138" i="5"/>
  <c r="AP134" i="5"/>
  <c r="AO134" i="5"/>
  <c r="AH130" i="5"/>
  <c r="AP130" i="5"/>
  <c r="AO130" i="5"/>
  <c r="AH126" i="5"/>
  <c r="AP126" i="5"/>
  <c r="AO126" i="5"/>
  <c r="AP122" i="5"/>
  <c r="AO122" i="5"/>
  <c r="AH118" i="5"/>
  <c r="AP118" i="5"/>
  <c r="AO118" i="5"/>
  <c r="AH114" i="5"/>
  <c r="AP114" i="5"/>
  <c r="AO114" i="5"/>
  <c r="AP110" i="5"/>
  <c r="AO110" i="5"/>
  <c r="AH106" i="5"/>
  <c r="AP106" i="5"/>
  <c r="AO106" i="5"/>
  <c r="AH102" i="5"/>
  <c r="AP102" i="5"/>
  <c r="AO102" i="5"/>
  <c r="AP98" i="5"/>
  <c r="AO98" i="5"/>
  <c r="AH94" i="5"/>
  <c r="AP94" i="5"/>
  <c r="AO94" i="5"/>
  <c r="AH90" i="5"/>
  <c r="AP90" i="5"/>
  <c r="AO90" i="5"/>
  <c r="AP86" i="5"/>
  <c r="AO86" i="5"/>
  <c r="AH82" i="5"/>
  <c r="AP82" i="5"/>
  <c r="AO82" i="5"/>
  <c r="AH78" i="5"/>
  <c r="AP78" i="5"/>
  <c r="AO78" i="5"/>
  <c r="AP74" i="5"/>
  <c r="AO74" i="5"/>
  <c r="AH70" i="5"/>
  <c r="AP70" i="5"/>
  <c r="AO70" i="5"/>
  <c r="AH66" i="5"/>
  <c r="AP66" i="5"/>
  <c r="AO66" i="5"/>
  <c r="AP62" i="5"/>
  <c r="AO62" i="5"/>
  <c r="AH58" i="5"/>
  <c r="AP58" i="5"/>
  <c r="AO58" i="5"/>
  <c r="AH54" i="5"/>
  <c r="AP54" i="5"/>
  <c r="AO54" i="5"/>
  <c r="AP50" i="5"/>
  <c r="AO50" i="5"/>
  <c r="AH46" i="5"/>
  <c r="AP46" i="5"/>
  <c r="AO46" i="5"/>
  <c r="AH42" i="5"/>
  <c r="AP42" i="5"/>
  <c r="AO42" i="5"/>
  <c r="AP38" i="5"/>
  <c r="AO38" i="5"/>
  <c r="AH34" i="5"/>
  <c r="AP34" i="5"/>
  <c r="AO34" i="5"/>
  <c r="AH30" i="5"/>
  <c r="AP30" i="5"/>
  <c r="AO30" i="5"/>
  <c r="AP26" i="5"/>
  <c r="AO26" i="5"/>
  <c r="AH22" i="5"/>
  <c r="AP22" i="5"/>
  <c r="AO22" i="5"/>
  <c r="AH18" i="5"/>
  <c r="AP18" i="5"/>
  <c r="AO18" i="5"/>
  <c r="AP14" i="5"/>
  <c r="AO14" i="5"/>
  <c r="AH158" i="5"/>
  <c r="AH110" i="5"/>
  <c r="AH62" i="5"/>
  <c r="AH14" i="5"/>
  <c r="F10" i="7"/>
  <c r="U136" i="5"/>
  <c r="U124" i="5"/>
  <c r="U112" i="5"/>
  <c r="U100" i="5"/>
  <c r="U88" i="5"/>
  <c r="U132" i="5"/>
  <c r="U167" i="5"/>
  <c r="U96" i="5"/>
  <c r="U28" i="5"/>
  <c r="U151" i="5"/>
  <c r="U52" i="5"/>
  <c r="U108" i="5"/>
  <c r="U13" i="5"/>
  <c r="U120" i="5"/>
  <c r="U40" i="5"/>
  <c r="U163" i="5"/>
  <c r="U170" i="5"/>
  <c r="L5" i="5"/>
  <c r="N178" i="5"/>
  <c r="N166" i="5"/>
  <c r="N154" i="5"/>
  <c r="N142" i="5"/>
  <c r="N130" i="5"/>
  <c r="N118" i="5"/>
  <c r="N106" i="5"/>
  <c r="N94" i="5"/>
  <c r="N82" i="5"/>
  <c r="N70" i="5"/>
  <c r="N58" i="5"/>
  <c r="N46" i="5"/>
  <c r="N34" i="5"/>
  <c r="N22" i="5"/>
  <c r="M6" i="5"/>
  <c r="N69" i="5"/>
  <c r="N57" i="5"/>
  <c r="N45" i="5"/>
  <c r="N33" i="5"/>
  <c r="N21" i="5"/>
  <c r="N175" i="5"/>
  <c r="N163" i="5"/>
  <c r="N151" i="5"/>
  <c r="N139" i="5"/>
  <c r="N127" i="5"/>
  <c r="N115" i="5"/>
  <c r="N103" i="5"/>
  <c r="N91" i="5"/>
  <c r="N79" i="5"/>
  <c r="N67" i="5"/>
  <c r="N55" i="5"/>
  <c r="N43" i="5"/>
  <c r="N31" i="5"/>
  <c r="N19" i="5"/>
  <c r="M5" i="5"/>
  <c r="U62" i="5"/>
  <c r="U10" i="5"/>
  <c r="N180" i="5"/>
  <c r="N168" i="5"/>
  <c r="N156" i="5"/>
  <c r="N144" i="5"/>
  <c r="N132" i="5"/>
  <c r="N120" i="5"/>
  <c r="N108" i="5"/>
  <c r="N96" i="5"/>
  <c r="N84" i="5"/>
  <c r="N72" i="5"/>
  <c r="N60" i="5"/>
  <c r="N48" i="5"/>
  <c r="N36" i="5"/>
  <c r="N24" i="5"/>
  <c r="N12" i="5"/>
  <c r="AH5" i="5"/>
  <c r="E18" i="7" s="1"/>
  <c r="AJ6" i="5"/>
  <c r="AJ5" i="5"/>
  <c r="N35" i="5"/>
  <c r="Y7" i="5"/>
  <c r="L6" i="5"/>
  <c r="AD7" i="5"/>
  <c r="X7" i="5"/>
  <c r="U64" i="5"/>
  <c r="L8" i="5"/>
  <c r="AL7" i="5"/>
  <c r="AK7" i="5"/>
  <c r="U14" i="5"/>
  <c r="U109" i="5"/>
  <c r="U140" i="5"/>
  <c r="U97" i="5"/>
  <c r="U29" i="5"/>
  <c r="U164" i="5"/>
  <c r="U41" i="5"/>
  <c r="U133" i="5"/>
  <c r="U84" i="5"/>
  <c r="U72" i="5"/>
  <c r="U53" i="5"/>
  <c r="U121" i="5"/>
  <c r="U152" i="5"/>
  <c r="U76" i="5"/>
  <c r="U54" i="5"/>
  <c r="U42" i="5"/>
  <c r="U30" i="5"/>
  <c r="U134" i="5"/>
  <c r="U122" i="5"/>
  <c r="U110" i="5"/>
  <c r="U98" i="5"/>
  <c r="U86" i="5"/>
  <c r="U74" i="5"/>
  <c r="U165" i="5"/>
  <c r="U153" i="5"/>
  <c r="U141" i="5"/>
  <c r="U172" i="5"/>
  <c r="U15" i="5"/>
  <c r="U85" i="5"/>
  <c r="U73" i="5"/>
  <c r="U58" i="5"/>
  <c r="U34" i="5"/>
  <c r="U178" i="5"/>
  <c r="U130" i="5"/>
  <c r="U70" i="5"/>
  <c r="U46" i="5"/>
  <c r="AJ8" i="5"/>
  <c r="U169" i="5"/>
  <c r="U95" i="5"/>
  <c r="U26" i="5"/>
  <c r="U180" i="5"/>
  <c r="U49" i="5"/>
  <c r="U129" i="5"/>
  <c r="U148" i="5"/>
  <c r="U119" i="5"/>
  <c r="U22" i="5"/>
  <c r="U94" i="5"/>
  <c r="U37" i="5"/>
  <c r="U160" i="5"/>
  <c r="U51" i="5"/>
  <c r="U27" i="5"/>
  <c r="U83" i="5"/>
  <c r="U150" i="5"/>
  <c r="U38" i="5"/>
  <c r="U106" i="5"/>
  <c r="U25" i="5"/>
  <c r="U12" i="5"/>
  <c r="U39" i="5"/>
  <c r="U107" i="5"/>
  <c r="U71" i="5"/>
  <c r="U181" i="5"/>
  <c r="U149" i="5"/>
  <c r="U93" i="5"/>
  <c r="U50" i="5"/>
  <c r="U82" i="5"/>
  <c r="U81" i="5"/>
  <c r="U162" i="5"/>
  <c r="U168" i="5"/>
  <c r="U117" i="5"/>
  <c r="U131" i="5"/>
  <c r="U118" i="5"/>
  <c r="U161" i="5"/>
  <c r="U61" i="5"/>
  <c r="U105" i="5"/>
  <c r="U69" i="5"/>
  <c r="U179" i="5"/>
  <c r="U11" i="5"/>
  <c r="U60" i="5"/>
  <c r="U48" i="5"/>
  <c r="U36" i="5"/>
  <c r="U24" i="5"/>
  <c r="U128" i="5"/>
  <c r="U116" i="5"/>
  <c r="U104" i="5"/>
  <c r="U92" i="5"/>
  <c r="U80" i="5"/>
  <c r="U68" i="5"/>
  <c r="U159" i="5"/>
  <c r="U147" i="5"/>
  <c r="U20" i="5"/>
  <c r="U59" i="5"/>
  <c r="U47" i="5"/>
  <c r="U35" i="5"/>
  <c r="U23" i="5"/>
  <c r="U127" i="5"/>
  <c r="U115" i="5"/>
  <c r="U103" i="5"/>
  <c r="U91" i="5"/>
  <c r="U79" i="5"/>
  <c r="U67" i="5"/>
  <c r="U158" i="5"/>
  <c r="U146" i="5"/>
  <c r="U177" i="5"/>
  <c r="U19" i="5"/>
  <c r="U126" i="5"/>
  <c r="U114" i="5"/>
  <c r="U102" i="5"/>
  <c r="U90" i="5"/>
  <c r="U78" i="5"/>
  <c r="U66" i="5"/>
  <c r="U157" i="5"/>
  <c r="U145" i="5"/>
  <c r="U176" i="5"/>
  <c r="U18" i="5"/>
  <c r="U57" i="5"/>
  <c r="U45" i="5"/>
  <c r="U33" i="5"/>
  <c r="U137" i="5"/>
  <c r="U125" i="5"/>
  <c r="U113" i="5"/>
  <c r="U101" i="5"/>
  <c r="U89" i="5"/>
  <c r="U77" i="5"/>
  <c r="U65" i="5"/>
  <c r="U156" i="5"/>
  <c r="U144" i="5"/>
  <c r="U175" i="5"/>
  <c r="U17" i="5"/>
  <c r="U56" i="5"/>
  <c r="U44" i="5"/>
  <c r="U32" i="5"/>
  <c r="U155" i="5"/>
  <c r="U143" i="5"/>
  <c r="U174" i="5"/>
  <c r="U55" i="5"/>
  <c r="U43" i="5"/>
  <c r="U31" i="5"/>
  <c r="U135" i="5"/>
  <c r="U123" i="5"/>
  <c r="U111" i="5"/>
  <c r="U99" i="5"/>
  <c r="U87" i="5"/>
  <c r="U75" i="5"/>
  <c r="U139" i="5"/>
  <c r="U173" i="5"/>
  <c r="V177" i="5"/>
  <c r="V171" i="5"/>
  <c r="V165" i="5"/>
  <c r="V159" i="5"/>
  <c r="V153" i="5"/>
  <c r="V147" i="5"/>
  <c r="V141" i="5"/>
  <c r="V135" i="5"/>
  <c r="V129" i="5"/>
  <c r="V123" i="5"/>
  <c r="V117" i="5"/>
  <c r="V111" i="5"/>
  <c r="V105" i="5"/>
  <c r="V99" i="5"/>
  <c r="V93" i="5"/>
  <c r="V87" i="5"/>
  <c r="V81" i="5"/>
  <c r="V75" i="5"/>
  <c r="V69" i="5"/>
  <c r="V63" i="5"/>
  <c r="V57" i="5"/>
  <c r="V51" i="5"/>
  <c r="V45" i="5"/>
  <c r="V39" i="5"/>
  <c r="V33" i="5"/>
  <c r="V27" i="5"/>
  <c r="V15" i="5"/>
  <c r="V176" i="5"/>
  <c r="V170" i="5"/>
  <c r="V164" i="5"/>
  <c r="V158" i="5"/>
  <c r="V152" i="5"/>
  <c r="V146" i="5"/>
  <c r="V140" i="5"/>
  <c r="V134" i="5"/>
  <c r="V128" i="5"/>
  <c r="V122" i="5"/>
  <c r="V116" i="5"/>
  <c r="V110" i="5"/>
  <c r="V104" i="5"/>
  <c r="V98" i="5"/>
  <c r="V92" i="5"/>
  <c r="V86" i="5"/>
  <c r="V80" i="5"/>
  <c r="V74" i="5"/>
  <c r="V68" i="5"/>
  <c r="V56" i="5"/>
  <c r="V50" i="5"/>
  <c r="V44" i="5"/>
  <c r="V38" i="5"/>
  <c r="V32" i="5"/>
  <c r="V26" i="5"/>
  <c r="V20" i="5"/>
  <c r="V14" i="5"/>
  <c r="V181" i="5"/>
  <c r="V175" i="5"/>
  <c r="V169" i="5"/>
  <c r="V163" i="5"/>
  <c r="V157" i="5"/>
  <c r="V151" i="5"/>
  <c r="V145" i="5"/>
  <c r="V139" i="5"/>
  <c r="V133" i="5"/>
  <c r="V127" i="5"/>
  <c r="V121" i="5"/>
  <c r="V115" i="5"/>
  <c r="V109" i="5"/>
  <c r="V103" i="5"/>
  <c r="V97" i="5"/>
  <c r="V91" i="5"/>
  <c r="V85" i="5"/>
  <c r="V79" i="5"/>
  <c r="V73" i="5"/>
  <c r="V67" i="5"/>
  <c r="V61" i="5"/>
  <c r="V55" i="5"/>
  <c r="V49" i="5"/>
  <c r="V43" i="5"/>
  <c r="V37" i="5"/>
  <c r="V31" i="5"/>
  <c r="V25" i="5"/>
  <c r="V19" i="5"/>
  <c r="V13" i="5"/>
  <c r="V180" i="5"/>
  <c r="V174" i="5"/>
  <c r="V168" i="5"/>
  <c r="V162" i="5"/>
  <c r="V156" i="5"/>
  <c r="V150" i="5"/>
  <c r="V144" i="5"/>
  <c r="V132" i="5"/>
  <c r="V126" i="5"/>
  <c r="V120" i="5"/>
  <c r="V114" i="5"/>
  <c r="V108" i="5"/>
  <c r="V102" i="5"/>
  <c r="V96" i="5"/>
  <c r="V90" i="5"/>
  <c r="V84" i="5"/>
  <c r="V78" i="5"/>
  <c r="V72" i="5"/>
  <c r="V66" i="5"/>
  <c r="V60" i="5"/>
  <c r="V54" i="5"/>
  <c r="V48" i="5"/>
  <c r="V42" i="5"/>
  <c r="V36" i="5"/>
  <c r="V30" i="5"/>
  <c r="V24" i="5"/>
  <c r="V18" i="5"/>
  <c r="V12" i="5"/>
  <c r="V179" i="5"/>
  <c r="V173" i="5"/>
  <c r="V167" i="5"/>
  <c r="V161" i="5"/>
  <c r="V155" i="5"/>
  <c r="V149" i="5"/>
  <c r="V143" i="5"/>
  <c r="V137" i="5"/>
  <c r="V131" i="5"/>
  <c r="V125" i="5"/>
  <c r="V119" i="5"/>
  <c r="V113" i="5"/>
  <c r="V107" i="5"/>
  <c r="V101" i="5"/>
  <c r="V95" i="5"/>
  <c r="V89" i="5"/>
  <c r="V83" i="5"/>
  <c r="V77" i="5"/>
  <c r="V71" i="5"/>
  <c r="V65" i="5"/>
  <c r="V59" i="5"/>
  <c r="V53" i="5"/>
  <c r="V47" i="5"/>
  <c r="V41" i="5"/>
  <c r="V35" i="5"/>
  <c r="V29" i="5"/>
  <c r="V23" i="5"/>
  <c r="V17" i="5"/>
  <c r="V11" i="5"/>
  <c r="V178" i="5"/>
  <c r="V172" i="5"/>
  <c r="V160" i="5"/>
  <c r="V154" i="5"/>
  <c r="V148" i="5"/>
  <c r="V142" i="5"/>
  <c r="V136" i="5"/>
  <c r="V130" i="5"/>
  <c r="V124" i="5"/>
  <c r="V118" i="5"/>
  <c r="V112" i="5"/>
  <c r="V106" i="5"/>
  <c r="V100" i="5"/>
  <c r="V94" i="5"/>
  <c r="V88" i="5"/>
  <c r="V82" i="5"/>
  <c r="V76" i="5"/>
  <c r="V70" i="5"/>
  <c r="V64" i="5"/>
  <c r="V58" i="5"/>
  <c r="V52" i="5"/>
  <c r="V46" i="5"/>
  <c r="V40" i="5"/>
  <c r="V34" i="5"/>
  <c r="V28" i="5"/>
  <c r="V22" i="5"/>
  <c r="V16" i="5"/>
  <c r="M8" i="5"/>
  <c r="D18" i="7" l="1"/>
  <c r="F18" i="7" s="1"/>
  <c r="AG6" i="5"/>
  <c r="AO5" i="5"/>
  <c r="E26" i="7" s="1"/>
  <c r="AH8" i="5"/>
  <c r="AG8" i="5" s="1"/>
  <c r="N5" i="5"/>
  <c r="AO8" i="5"/>
  <c r="AO6" i="5"/>
  <c r="AO7" i="5" s="1"/>
  <c r="AP6" i="5"/>
  <c r="AP8" i="5"/>
  <c r="AQ8" i="5" s="1"/>
  <c r="L7" i="5"/>
  <c r="N6" i="5"/>
  <c r="C6" i="5" s="1"/>
  <c r="AP5" i="5"/>
  <c r="AG5" i="5"/>
  <c r="M7" i="5"/>
  <c r="C5" i="5"/>
  <c r="O5" i="5"/>
  <c r="AJ7" i="5"/>
  <c r="N8" i="5"/>
  <c r="U5" i="5"/>
  <c r="D5" i="5" s="1"/>
  <c r="AH7" i="5"/>
  <c r="V6" i="5"/>
  <c r="E6" i="5" s="1"/>
  <c r="D8" i="7" s="1"/>
  <c r="U6" i="5"/>
  <c r="D6" i="5" s="1"/>
  <c r="D7" i="7" s="1"/>
  <c r="V5" i="5"/>
  <c r="E5" i="5" s="1"/>
  <c r="U8" i="5"/>
  <c r="D8" i="5" s="1"/>
  <c r="V8" i="5"/>
  <c r="E8" i="5" s="1"/>
  <c r="D6" i="7" l="1"/>
  <c r="G6" i="5"/>
  <c r="H6" i="5" s="1"/>
  <c r="K6" i="7"/>
  <c r="O6" i="5"/>
  <c r="L6" i="7"/>
  <c r="F8" i="7"/>
  <c r="E6" i="7"/>
  <c r="G5" i="5"/>
  <c r="AP7" i="5"/>
  <c r="AQ5" i="5"/>
  <c r="Z8" i="5"/>
  <c r="AQ6" i="5"/>
  <c r="E8" i="7"/>
  <c r="L7" i="7" s="1"/>
  <c r="E7" i="5"/>
  <c r="E7" i="7"/>
  <c r="K7" i="7" s="1"/>
  <c r="D7" i="5"/>
  <c r="D25" i="7"/>
  <c r="D26" i="7"/>
  <c r="F26" i="7" s="1"/>
  <c r="E25" i="7"/>
  <c r="V7" i="5"/>
  <c r="Z5" i="5"/>
  <c r="Z6" i="5"/>
  <c r="C8" i="5"/>
  <c r="G8" i="5" s="1"/>
  <c r="H8" i="5" s="1"/>
  <c r="U7" i="5"/>
  <c r="N7" i="5"/>
  <c r="J7" i="7" l="1"/>
  <c r="M7" i="7" s="1"/>
  <c r="E3" i="7"/>
  <c r="E9" i="7"/>
  <c r="E11" i="7" s="1"/>
  <c r="E17" i="7"/>
  <c r="E19" i="7" s="1"/>
  <c r="F7" i="7"/>
  <c r="K8" i="7"/>
  <c r="L8" i="7"/>
  <c r="F25" i="7"/>
  <c r="C7" i="5"/>
  <c r="H5" i="5"/>
  <c r="G7" i="5"/>
  <c r="J6" i="7"/>
  <c r="D17" i="7"/>
  <c r="D9" i="7"/>
  <c r="D11" i="7" s="1"/>
  <c r="D3" i="7"/>
  <c r="F6" i="7"/>
  <c r="J17" i="7" l="1"/>
  <c r="M17" i="7" s="1"/>
  <c r="M6" i="7"/>
  <c r="M8" i="7" s="1"/>
  <c r="J8" i="7"/>
  <c r="F3" i="7"/>
  <c r="F9" i="7"/>
  <c r="F11" i="7" s="1"/>
  <c r="G3" i="7" s="1"/>
  <c r="D19" i="7"/>
  <c r="F19" i="7" s="1"/>
  <c r="F1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Havvas (ESO), Andrew</author>
  </authors>
  <commentList>
    <comment ref="S10" authorId="0" shapeId="0" xr:uid="{4B0381A9-6877-49CC-92DD-6DA402E61434}">
      <text>
        <r>
          <rPr>
            <b/>
            <sz val="9"/>
            <color indexed="81"/>
            <rFont val="Tahoma"/>
            <family val="2"/>
          </rPr>
          <t>Havvas (ESO), Andrew:</t>
        </r>
        <r>
          <rPr>
            <sz val="9"/>
            <color indexed="81"/>
            <rFont val="Tahoma"/>
            <family val="2"/>
          </rPr>
          <t xml:space="preserve">
No offshore tariff</t>
        </r>
      </text>
    </comment>
    <comment ref="T10" authorId="0" shapeId="0" xr:uid="{A8FBB05E-D62C-4F03-B6E6-BAF41FF01B42}">
      <text>
        <r>
          <rPr>
            <b/>
            <sz val="9"/>
            <color indexed="81"/>
            <rFont val="Tahoma"/>
            <family val="2"/>
          </rPr>
          <t>Havvas (ESO), Andrew:</t>
        </r>
        <r>
          <rPr>
            <sz val="9"/>
            <color indexed="81"/>
            <rFont val="Tahoma"/>
            <family val="2"/>
          </rPr>
          <t xml:space="preserve">
No offshore tariff</t>
        </r>
      </text>
    </comment>
    <comment ref="S21" authorId="0" shapeId="0" xr:uid="{769A6C4F-0ED2-4B59-856F-AFBA5F98A7EE}">
      <text>
        <r>
          <rPr>
            <b/>
            <sz val="9"/>
            <color indexed="81"/>
            <rFont val="Tahoma"/>
            <family val="2"/>
          </rPr>
          <t>Havvas (ESO), Andrew:</t>
        </r>
        <r>
          <rPr>
            <sz val="9"/>
            <color indexed="81"/>
            <rFont val="Tahoma"/>
            <family val="2"/>
          </rPr>
          <t xml:space="preserve">
No offshore tariff</t>
        </r>
      </text>
    </comment>
    <comment ref="T21" authorId="0" shapeId="0" xr:uid="{1D5F4747-6A2C-44D9-AB43-55ECC2654A8C}">
      <text>
        <r>
          <rPr>
            <b/>
            <sz val="9"/>
            <color indexed="81"/>
            <rFont val="Tahoma"/>
            <family val="2"/>
          </rPr>
          <t>Havvas (ESO), Andrew:</t>
        </r>
        <r>
          <rPr>
            <sz val="9"/>
            <color indexed="81"/>
            <rFont val="Tahoma"/>
            <family val="2"/>
          </rPr>
          <t xml:space="preserve">
No offshore tariff</t>
        </r>
      </text>
    </comment>
    <comment ref="S62" authorId="0" shapeId="0" xr:uid="{E08BBC70-F32D-4B1F-A8D7-33E5FA31943B}">
      <text>
        <r>
          <rPr>
            <b/>
            <sz val="9"/>
            <color indexed="81"/>
            <rFont val="Tahoma"/>
            <family val="2"/>
          </rPr>
          <t>Havvas (ESO), Andrew:</t>
        </r>
        <r>
          <rPr>
            <sz val="9"/>
            <color indexed="81"/>
            <rFont val="Tahoma"/>
            <family val="2"/>
          </rPr>
          <t xml:space="preserve">
No offshore tariff</t>
        </r>
      </text>
    </comment>
    <comment ref="T62" authorId="0" shapeId="0" xr:uid="{808D1C29-0478-4128-B8BA-6C10DB56A6A7}">
      <text>
        <r>
          <rPr>
            <b/>
            <sz val="9"/>
            <color indexed="81"/>
            <rFont val="Tahoma"/>
            <family val="2"/>
          </rPr>
          <t>Havvas (ESO), Andrew:</t>
        </r>
        <r>
          <rPr>
            <sz val="9"/>
            <color indexed="81"/>
            <rFont val="Tahoma"/>
            <family val="2"/>
          </rPr>
          <t xml:space="preserve">
No offshore tariff</t>
        </r>
      </text>
    </comment>
    <comment ref="S138" authorId="0" shapeId="0" xr:uid="{5CF59A14-FA28-44B9-98CD-C14798829B00}">
      <text>
        <r>
          <rPr>
            <b/>
            <sz val="9"/>
            <color indexed="81"/>
            <rFont val="Tahoma"/>
            <family val="2"/>
          </rPr>
          <t>Havvas (ESO), Andrew:</t>
        </r>
        <r>
          <rPr>
            <sz val="9"/>
            <color indexed="81"/>
            <rFont val="Tahoma"/>
            <family val="2"/>
          </rPr>
          <t xml:space="preserve">
No offshore tariff</t>
        </r>
      </text>
    </comment>
    <comment ref="T138" authorId="0" shapeId="0" xr:uid="{4401D12B-3B4B-4840-9BC0-624C6FD6C4F0}">
      <text>
        <r>
          <rPr>
            <b/>
            <sz val="9"/>
            <color indexed="81"/>
            <rFont val="Tahoma"/>
            <family val="2"/>
          </rPr>
          <t>Havvas (ESO), Andrew:</t>
        </r>
        <r>
          <rPr>
            <sz val="9"/>
            <color indexed="81"/>
            <rFont val="Tahoma"/>
            <family val="2"/>
          </rPr>
          <t xml:space="preserve">
No offshore tariff</t>
        </r>
      </text>
    </comment>
    <comment ref="S166" authorId="0" shapeId="0" xr:uid="{969BC6E7-0DBC-4CF3-BD63-1DD2B1E2F2C5}">
      <text>
        <r>
          <rPr>
            <b/>
            <sz val="9"/>
            <color indexed="81"/>
            <rFont val="Tahoma"/>
            <family val="2"/>
          </rPr>
          <t>Havvas (ESO), Andrew:</t>
        </r>
        <r>
          <rPr>
            <sz val="9"/>
            <color indexed="81"/>
            <rFont val="Tahoma"/>
            <family val="2"/>
          </rPr>
          <t xml:space="preserve">
No offshore tariff</t>
        </r>
      </text>
    </comment>
    <comment ref="T166" authorId="0" shapeId="0" xr:uid="{DEB3FD30-6A67-457E-93E0-54997803E0A4}">
      <text>
        <r>
          <rPr>
            <b/>
            <sz val="9"/>
            <color indexed="81"/>
            <rFont val="Tahoma"/>
            <family val="2"/>
          </rPr>
          <t>Havvas (ESO), Andrew:</t>
        </r>
        <r>
          <rPr>
            <sz val="9"/>
            <color indexed="81"/>
            <rFont val="Tahoma"/>
            <family val="2"/>
          </rPr>
          <t xml:space="preserve">
No offshore tariff</t>
        </r>
      </text>
    </comment>
  </commentList>
</comments>
</file>

<file path=xl/sharedStrings.xml><?xml version="1.0" encoding="utf-8"?>
<sst xmlns="http://schemas.openxmlformats.org/spreadsheetml/2006/main" count="1451" uniqueCount="670">
  <si>
    <t>Total Exports - 2020/21</t>
  </si>
  <si>
    <t>MWh</t>
  </si>
  <si>
    <t>Embedded</t>
  </si>
  <si>
    <t>Directly connected</t>
  </si>
  <si>
    <t>Source: 'S:\Charging and Billing\TNUoS Charging\2020-21\Reconciliations\GenRec 2020_21\Calcs\Source Data\Copy_Updated_200421_i014 CVA 2020_21 v2.0.xlsx'</t>
  </si>
  <si>
    <t>ESTIMATE TNUoS Generation Charges 2020/21</t>
  </si>
  <si>
    <t>Forecast TNUoS Generation Revenue Breakdown, £m</t>
  </si>
  <si>
    <t>Values used to determine compliance with the EU range</t>
  </si>
  <si>
    <t>Charging year</t>
  </si>
  <si>
    <t>Total TNUoS Generation Revenue</t>
  </si>
  <si>
    <t>Wider (excl. Residual)</t>
  </si>
  <si>
    <t>Local onshore</t>
  </si>
  <si>
    <t>Local offshore</t>
  </si>
  <si>
    <t>Residual</t>
  </si>
  <si>
    <t>Revenue from large embedded generator &gt;100MW</t>
  </si>
  <si>
    <t>Eligible Revenue: Wider &amp; Residual, £m</t>
  </si>
  <si>
    <t>Chargeable MWh</t>
  </si>
  <si>
    <t>Euro/GBP exch. rate (EURGBP)</t>
  </si>
  <si>
    <t>Eur/MWh</t>
  </si>
  <si>
    <t>2020/21</t>
  </si>
  <si>
    <t>OUT-TURN SCENARIOS BASED ON FACTORS THAT MAY AFFECT REVENUE AND COMPLIANCE WITHIN THE EU RANGE</t>
  </si>
  <si>
    <t>Description</t>
  </si>
  <si>
    <t>Range low, £m</t>
  </si>
  <si>
    <t>Central case, £m</t>
  </si>
  <si>
    <t>Range high, £m</t>
  </si>
  <si>
    <t>Total annual revenue from Wider tariffs</t>
  </si>
  <si>
    <t xml:space="preserve">Estimate of additional eligible revenue at reconciliation </t>
  </si>
  <si>
    <t>Expected wider charges from new connections</t>
  </si>
  <si>
    <t>Adjusted by:</t>
  </si>
  <si>
    <t>Adding local charges related to pre-existing assets</t>
  </si>
  <si>
    <t xml:space="preserve">Estimate out-turn revenue based on above </t>
  </si>
  <si>
    <t xml:space="preserve">Estimate out-turn Eur/MWh based on above </t>
  </si>
  <si>
    <t>Notes:</t>
  </si>
  <si>
    <t>Any changes to revenue from local tariffs will not affect out-turn (e.g. introduction of local offshore charges due to asset transfer or new generators subject to local tariffs), since local revenue is excluded</t>
  </si>
  <si>
    <t>Since out-turn is tending towards the range low the emphasis is on whether revenue is above or below zero.  For this reason, we do not believe the estimates of exchange rate and Chargeable volume are material at this stage.</t>
  </si>
  <si>
    <t xml:space="preserve"> - The chargeable volume is an estimate for the total year</t>
  </si>
  <si>
    <t xml:space="preserve"> - Exchange rate has been calculated by taking the average rate published on the Bank of England website over the charging year to date</t>
  </si>
  <si>
    <t>Note: the export values above were calculated using the cut of the settlement metering used to calculate the actual TNUoS Generation reconciliation invoices issued 30th April 2021</t>
  </si>
  <si>
    <t>01 Apr 20</t>
  </si>
  <si>
    <t>02 Apr 20</t>
  </si>
  <si>
    <t>03 Apr 20</t>
  </si>
  <si>
    <t>06 Apr 20</t>
  </si>
  <si>
    <t>07 Apr 20</t>
  </si>
  <si>
    <t>08 Apr 20</t>
  </si>
  <si>
    <t>09 Apr 20</t>
  </si>
  <si>
    <t>14 Apr 20</t>
  </si>
  <si>
    <t>15 Apr 20</t>
  </si>
  <si>
    <t>16 Apr 20</t>
  </si>
  <si>
    <t>17 Apr 20</t>
  </si>
  <si>
    <t>20 Apr 20</t>
  </si>
  <si>
    <t>21 Apr 20</t>
  </si>
  <si>
    <t>22 Apr 20</t>
  </si>
  <si>
    <t>23 Apr 20</t>
  </si>
  <si>
    <t>24 Apr 20</t>
  </si>
  <si>
    <t>27 Apr 20</t>
  </si>
  <si>
    <t>28 Apr 20</t>
  </si>
  <si>
    <t>29 Apr 20</t>
  </si>
  <si>
    <t>30 Apr 20</t>
  </si>
  <si>
    <t>01 May 20</t>
  </si>
  <si>
    <t>04 May 20</t>
  </si>
  <si>
    <t>05 May 20</t>
  </si>
  <si>
    <t>06 May 20</t>
  </si>
  <si>
    <t>07 May 20</t>
  </si>
  <si>
    <t>11 May 20</t>
  </si>
  <si>
    <t>12 May 20</t>
  </si>
  <si>
    <t>13 May 20</t>
  </si>
  <si>
    <t>14 May 20</t>
  </si>
  <si>
    <t>15 May 20</t>
  </si>
  <si>
    <t>18 May 20</t>
  </si>
  <si>
    <t>19 May 20</t>
  </si>
  <si>
    <t>20 May 20</t>
  </si>
  <si>
    <t>21 May 20</t>
  </si>
  <si>
    <t>22 May 20</t>
  </si>
  <si>
    <t>26 May 20</t>
  </si>
  <si>
    <t>27 May 20</t>
  </si>
  <si>
    <t>28 May 20</t>
  </si>
  <si>
    <t>29 May 20</t>
  </si>
  <si>
    <t>01 Jun 20</t>
  </si>
  <si>
    <t>02 Jun 20</t>
  </si>
  <si>
    <t>03 Jun 20</t>
  </si>
  <si>
    <t>04 Jun 20</t>
  </si>
  <si>
    <t>05 Jun 20</t>
  </si>
  <si>
    <t>08 Jun 20</t>
  </si>
  <si>
    <t>09 Jun 20</t>
  </si>
  <si>
    <t>10 Jun 20</t>
  </si>
  <si>
    <t>11 Jun 20</t>
  </si>
  <si>
    <t>12 Jun 20</t>
  </si>
  <si>
    <t>15 Jun 20</t>
  </si>
  <si>
    <t>16 Jun 20</t>
  </si>
  <si>
    <t>17 Jun 20</t>
  </si>
  <si>
    <t>18 Jun 20</t>
  </si>
  <si>
    <t>19 Jun 20</t>
  </si>
  <si>
    <t>22 Jun 20</t>
  </si>
  <si>
    <t>23 Jun 20</t>
  </si>
  <si>
    <t>24 Jun 20</t>
  </si>
  <si>
    <t>25 Jun 20</t>
  </si>
  <si>
    <t>26 Jun 20</t>
  </si>
  <si>
    <t>29 Jun 20</t>
  </si>
  <si>
    <t>30 Jun 20</t>
  </si>
  <si>
    <t>01 Jul 20</t>
  </si>
  <si>
    <t>02 Jul 20</t>
  </si>
  <si>
    <t>03 Jul 20</t>
  </si>
  <si>
    <t>06 Jul 20</t>
  </si>
  <si>
    <t>07 Jul 20</t>
  </si>
  <si>
    <t>08 Jul 20</t>
  </si>
  <si>
    <t>09 Jul 20</t>
  </si>
  <si>
    <t>10 Jul 20</t>
  </si>
  <si>
    <t>13 Jul 20</t>
  </si>
  <si>
    <t>14 Jul 20</t>
  </si>
  <si>
    <t>15 Jul 20</t>
  </si>
  <si>
    <t>16 Jul 20</t>
  </si>
  <si>
    <t>17 Jul 20</t>
  </si>
  <si>
    <t>20 Jul 20</t>
  </si>
  <si>
    <t>21 Jul 20</t>
  </si>
  <si>
    <t>22 Jul 20</t>
  </si>
  <si>
    <t>23 Jul 20</t>
  </si>
  <si>
    <t>24 Jul 20</t>
  </si>
  <si>
    <t>27 Jul 20</t>
  </si>
  <si>
    <t>28 Jul 20</t>
  </si>
  <si>
    <t>29 Jul 20</t>
  </si>
  <si>
    <t>30 Jul 20</t>
  </si>
  <si>
    <t>31 Jul 20</t>
  </si>
  <si>
    <t>03 Aug 20</t>
  </si>
  <si>
    <t>04 Aug 20</t>
  </si>
  <si>
    <t>05 Aug 20</t>
  </si>
  <si>
    <t>06 Aug 20</t>
  </si>
  <si>
    <t>07 Aug 20</t>
  </si>
  <si>
    <t>10 Aug 20</t>
  </si>
  <si>
    <t>11 Aug 20</t>
  </si>
  <si>
    <t>12 Aug 20</t>
  </si>
  <si>
    <t>13 Aug 20</t>
  </si>
  <si>
    <t>14 Aug 20</t>
  </si>
  <si>
    <t>17 Aug 20</t>
  </si>
  <si>
    <t>18 Aug 20</t>
  </si>
  <si>
    <t>19 Aug 20</t>
  </si>
  <si>
    <t>20 Aug 20</t>
  </si>
  <si>
    <t>21 Aug 20</t>
  </si>
  <si>
    <t>24 Aug 20</t>
  </si>
  <si>
    <t>25 Aug 20</t>
  </si>
  <si>
    <t>26 Aug 20</t>
  </si>
  <si>
    <t>27 Aug 20</t>
  </si>
  <si>
    <t>28 Aug 20</t>
  </si>
  <si>
    <t>01 Sep 20</t>
  </si>
  <si>
    <t>02 Sep 20</t>
  </si>
  <si>
    <t>03 Sep 20</t>
  </si>
  <si>
    <t>04 Sep 20</t>
  </si>
  <si>
    <t>07 Sep 20</t>
  </si>
  <si>
    <t>08 Sep 20</t>
  </si>
  <si>
    <t>09 Sep 20</t>
  </si>
  <si>
    <t>10 Sep 20</t>
  </si>
  <si>
    <t>11 Sep 20</t>
  </si>
  <si>
    <t>14 Sep 20</t>
  </si>
  <si>
    <t>15 Sep 20</t>
  </si>
  <si>
    <t>16 Sep 20</t>
  </si>
  <si>
    <t>17 Sep 20</t>
  </si>
  <si>
    <t>18 Sep 20</t>
  </si>
  <si>
    <t>21 Sep 20</t>
  </si>
  <si>
    <t>22 Sep 20</t>
  </si>
  <si>
    <t>23 Sep 20</t>
  </si>
  <si>
    <t>24 Sep 20</t>
  </si>
  <si>
    <t>25 Sep 20</t>
  </si>
  <si>
    <t>28 Sep 20</t>
  </si>
  <si>
    <t>29 Sep 20</t>
  </si>
  <si>
    <t>30 Sep 20</t>
  </si>
  <si>
    <t>01 Oct 20</t>
  </si>
  <si>
    <t>02 Oct 20</t>
  </si>
  <si>
    <t>05 Oct 20</t>
  </si>
  <si>
    <t>06 Oct 20</t>
  </si>
  <si>
    <t>07 Oct 20</t>
  </si>
  <si>
    <t>08 Oct 20</t>
  </si>
  <si>
    <t>09 Oct 20</t>
  </si>
  <si>
    <t>12 Oct 20</t>
  </si>
  <si>
    <t>13 Oct 20</t>
  </si>
  <si>
    <t>14 Oct 20</t>
  </si>
  <si>
    <t>15 Oct 20</t>
  </si>
  <si>
    <t>16 Oct 20</t>
  </si>
  <si>
    <t>19 Oct 20</t>
  </si>
  <si>
    <t>20 Oct 20</t>
  </si>
  <si>
    <t>21 Oct 20</t>
  </si>
  <si>
    <t>22 Oct 20</t>
  </si>
  <si>
    <t>23 Oct 20</t>
  </si>
  <si>
    <t>26 Oct 20</t>
  </si>
  <si>
    <t>27 Oct 20</t>
  </si>
  <si>
    <t>28 Oct 20</t>
  </si>
  <si>
    <t>29 Oct 20</t>
  </si>
  <si>
    <t>30 Oct 20</t>
  </si>
  <si>
    <t>02 Nov 20</t>
  </si>
  <si>
    <t>03 Nov 20</t>
  </si>
  <si>
    <t>04 Nov 20</t>
  </si>
  <si>
    <t>05 Nov 20</t>
  </si>
  <si>
    <t>06 Nov 20</t>
  </si>
  <si>
    <t>09 Nov 20</t>
  </si>
  <si>
    <t>10 Nov 20</t>
  </si>
  <si>
    <t>11 Nov 20</t>
  </si>
  <si>
    <t>12 Nov 20</t>
  </si>
  <si>
    <t>13 Nov 20</t>
  </si>
  <si>
    <t>16 Nov 20</t>
  </si>
  <si>
    <t>17 Nov 20</t>
  </si>
  <si>
    <t>18 Nov 20</t>
  </si>
  <si>
    <t>19 Nov 20</t>
  </si>
  <si>
    <t>20 Nov 20</t>
  </si>
  <si>
    <t>23 Nov 20</t>
  </si>
  <si>
    <t>24 Nov 20</t>
  </si>
  <si>
    <t>25 Nov 20</t>
  </si>
  <si>
    <t>26 Nov 20</t>
  </si>
  <si>
    <t>27 Nov 20</t>
  </si>
  <si>
    <t>30 Nov 20</t>
  </si>
  <si>
    <t>01 Dec 20</t>
  </si>
  <si>
    <t>02 Dec 20</t>
  </si>
  <si>
    <t>03 Dec 20</t>
  </si>
  <si>
    <t>04 Dec 20</t>
  </si>
  <si>
    <t>07 Dec 20</t>
  </si>
  <si>
    <t>08 Dec 20</t>
  </si>
  <si>
    <t>09 Dec 20</t>
  </si>
  <si>
    <t>10 Dec 20</t>
  </si>
  <si>
    <t>11 Dec 20</t>
  </si>
  <si>
    <t>14 Dec 20</t>
  </si>
  <si>
    <t>15 Dec 20</t>
  </si>
  <si>
    <t>16 Dec 20</t>
  </si>
  <si>
    <t>17 Dec 20</t>
  </si>
  <si>
    <t>18 Dec 20</t>
  </si>
  <si>
    <t>21 Dec 20</t>
  </si>
  <si>
    <t>22 Dec 20</t>
  </si>
  <si>
    <t>23 Dec 20</t>
  </si>
  <si>
    <t>24 Dec 20</t>
  </si>
  <si>
    <t>29 Dec 20</t>
  </si>
  <si>
    <t>30 Dec 20</t>
  </si>
  <si>
    <t>31 Dec 20</t>
  </si>
  <si>
    <t>04 Jan 21</t>
  </si>
  <si>
    <t>05 Jan 21</t>
  </si>
  <si>
    <t>06 Jan 21</t>
  </si>
  <si>
    <t>07 Jan 21</t>
  </si>
  <si>
    <t>08 Jan 21</t>
  </si>
  <si>
    <t>11 Jan 21</t>
  </si>
  <si>
    <t>12 Jan 21</t>
  </si>
  <si>
    <t>13 Jan 21</t>
  </si>
  <si>
    <t>14 Jan 21</t>
  </si>
  <si>
    <t>15 Jan 21</t>
  </si>
  <si>
    <t>18 Jan 21</t>
  </si>
  <si>
    <t>19 Jan 21</t>
  </si>
  <si>
    <t>20 Jan 21</t>
  </si>
  <si>
    <t>21 Jan 21</t>
  </si>
  <si>
    <t>22 Jan 21</t>
  </si>
  <si>
    <t>25 Jan 21</t>
  </si>
  <si>
    <t>26 Jan 21</t>
  </si>
  <si>
    <t>27 Jan 21</t>
  </si>
  <si>
    <t>28 Jan 21</t>
  </si>
  <si>
    <t>29 Jan 21</t>
  </si>
  <si>
    <t>01 Feb 21</t>
  </si>
  <si>
    <t>02 Feb 21</t>
  </si>
  <si>
    <t>03 Feb 21</t>
  </si>
  <si>
    <t>04 Feb 21</t>
  </si>
  <si>
    <t>05 Feb 21</t>
  </si>
  <si>
    <t>08 Feb 21</t>
  </si>
  <si>
    <t>09 Feb 21</t>
  </si>
  <si>
    <t>10 Feb 21</t>
  </si>
  <si>
    <t>11 Feb 21</t>
  </si>
  <si>
    <t>12 Feb 21</t>
  </si>
  <si>
    <t>15 Feb 21</t>
  </si>
  <si>
    <t>16 Feb 21</t>
  </si>
  <si>
    <t>17 Feb 21</t>
  </si>
  <si>
    <t>18 Feb 21</t>
  </si>
  <si>
    <t>19 Feb 21</t>
  </si>
  <si>
    <t>22 Feb 21</t>
  </si>
  <si>
    <t>23 Feb 21</t>
  </si>
  <si>
    <t>24 Feb 21</t>
  </si>
  <si>
    <t>25 Feb 21</t>
  </si>
  <si>
    <t>26 Feb 21</t>
  </si>
  <si>
    <t>01 Mar 21</t>
  </si>
  <si>
    <t>02 Mar 21</t>
  </si>
  <si>
    <t>03 Mar 21</t>
  </si>
  <si>
    <t>04 Mar 21</t>
  </si>
  <si>
    <t>05 Mar 21</t>
  </si>
  <si>
    <t>08 Mar 21</t>
  </si>
  <si>
    <t>09 Mar 21</t>
  </si>
  <si>
    <t>10 Mar 21</t>
  </si>
  <si>
    <t>11 Mar 21</t>
  </si>
  <si>
    <t>12 Mar 21</t>
  </si>
  <si>
    <t>15 Mar 21</t>
  </si>
  <si>
    <t>16 Mar 21</t>
  </si>
  <si>
    <t>17 Mar 21</t>
  </si>
  <si>
    <t>18 Mar 21</t>
  </si>
  <si>
    <t>19 Mar 21</t>
  </si>
  <si>
    <t>22 Mar 21</t>
  </si>
  <si>
    <t>23 Mar 21</t>
  </si>
  <si>
    <t>24 Mar 21</t>
  </si>
  <si>
    <t>25 Mar 21</t>
  </si>
  <si>
    <t>26 Mar 21</t>
  </si>
  <si>
    <t>29 Mar 21</t>
  </si>
  <si>
    <t>30 Mar 21</t>
  </si>
  <si>
    <t>31 Mar 21</t>
  </si>
  <si>
    <t>Spot exchange rate, Euro into Sterling                          XUDLERS</t>
  </si>
  <si>
    <t>Date</t>
  </si>
  <si>
    <t>https://www.bankofengland.co.uk/boeapps/database/fromshowcolumns.asp?Travel=NIxASxRSxSUx&amp;FromSeries=1&amp;ToSeries=50&amp;DAT=RNG&amp;FD=1&amp;FM=Apr&amp;FY=2020&amp;TD=31&amp;TM=Mar&amp;TY=2021&amp;FNY=&amp;CSVF=TT&amp;html.x=266&amp;html.y=29&amp;C=C8J&amp;Filter=N</t>
  </si>
  <si>
    <t>Bank of England | Database</t>
  </si>
  <si>
    <t>Average rate:</t>
  </si>
  <si>
    <t>Power Station</t>
  </si>
  <si>
    <t>Connection Status</t>
  </si>
  <si>
    <t>Substation Name
or Type</t>
  </si>
  <si>
    <t>Gen Zone</t>
  </si>
  <si>
    <t>Fuel Type</t>
  </si>
  <si>
    <t>Annual Load Factor (ALF)</t>
  </si>
  <si>
    <t>Max TEC</t>
  </si>
  <si>
    <t>Substation Type</t>
  </si>
  <si>
    <t>Effective Wider Tariff</t>
  </si>
  <si>
    <t>Local Cct Tariff</t>
  </si>
  <si>
    <t>Local Subs Tariff</t>
  </si>
  <si>
    <t>Applicable Tariff</t>
  </si>
  <si>
    <t>Generation TNUoS Liability 2020/21</t>
  </si>
  <si>
    <t>Difference Rec vs Invoiced)</t>
  </si>
  <si>
    <t>Sum of Negative Tariffs (for Gen Peaks Calc)</t>
  </si>
  <si>
    <t>Annual Liability Arising from -ve Tariffs</t>
  </si>
  <si>
    <t>Gen Peak (for Station with -ve Tariff)</t>
  </si>
  <si>
    <t>Outturn Liability Arising from -ve Tariffs</t>
  </si>
  <si>
    <t>Reconciliation of Gen Peaks</t>
  </si>
  <si>
    <t>Triad Demand Liability</t>
  </si>
  <si>
    <t>Total Reconciliation (Invoices+ Gen Peaks + Demand excl Interest)</t>
  </si>
  <si>
    <t>Aberdeen</t>
  </si>
  <si>
    <t>Offshore</t>
  </si>
  <si>
    <t>Aberdeen Bay</t>
  </si>
  <si>
    <t>Offshore_Wind</t>
  </si>
  <si>
    <t>132_&lt;1320 MW_No redundancy</t>
  </si>
  <si>
    <t>Aberthaw</t>
  </si>
  <si>
    <t>Directly Connected</t>
  </si>
  <si>
    <t>MITS</t>
  </si>
  <si>
    <t>Coal</t>
  </si>
  <si>
    <t>275_&lt;1320 MW_Redundancy</t>
  </si>
  <si>
    <t>Achruach</t>
  </si>
  <si>
    <t>Onshore_Wind</t>
  </si>
  <si>
    <t>Afton</t>
  </si>
  <si>
    <t>Black Hill</t>
  </si>
  <si>
    <t>132_&lt;1320 MW_Redundancy</t>
  </si>
  <si>
    <t>Aigas</t>
  </si>
  <si>
    <t>Hydro</t>
  </si>
  <si>
    <t>Aikengall II</t>
  </si>
  <si>
    <t>Wester Dod</t>
  </si>
  <si>
    <t>An Suidhe</t>
  </si>
  <si>
    <t>Arecleoch</t>
  </si>
  <si>
    <t>Bad a Cheo</t>
  </si>
  <si>
    <t>Baglan Bay</t>
  </si>
  <si>
    <t>CCGT_CHP</t>
  </si>
  <si>
    <t>Barrow</t>
  </si>
  <si>
    <t>132_&gt;=1320 MW_Barrow</t>
  </si>
  <si>
    <t>Beatrice</t>
  </si>
  <si>
    <t>400_&lt;1320 MW_Beatrice</t>
  </si>
  <si>
    <t>Beinneun</t>
  </si>
  <si>
    <t>Bhlaraidh</t>
  </si>
  <si>
    <t>Black Law</t>
  </si>
  <si>
    <t>Blackcraig</t>
  </si>
  <si>
    <t>Blacklaw Extension</t>
  </si>
  <si>
    <t>Brimsdown</t>
  </si>
  <si>
    <t>Burbo Bank Ext</t>
  </si>
  <si>
    <t>400_&lt;1320 MW_Burbo Bank Ext</t>
  </si>
  <si>
    <t>Carraig Gheal</t>
  </si>
  <si>
    <t>Fernoch</t>
  </si>
  <si>
    <t>Carrington</t>
  </si>
  <si>
    <t>400_&lt;1320 MW_Redundancy</t>
  </si>
  <si>
    <t>Clunie</t>
  </si>
  <si>
    <t>Clyde (North)</t>
  </si>
  <si>
    <t>275_&lt;1320 MW_No redundancy</t>
  </si>
  <si>
    <t>Clyde (South)</t>
  </si>
  <si>
    <t>Connahs Quay</t>
  </si>
  <si>
    <t>400_&gt;=1320 MW_Redundancy</t>
  </si>
  <si>
    <t>Corby</t>
  </si>
  <si>
    <t>_&lt;1320 MW_</t>
  </si>
  <si>
    <t>Corriegarth</t>
  </si>
  <si>
    <t>Corriemoillie</t>
  </si>
  <si>
    <t>Coryton</t>
  </si>
  <si>
    <t>Cottam</t>
  </si>
  <si>
    <t>Cottam Development Centre</t>
  </si>
  <si>
    <t>Cour</t>
  </si>
  <si>
    <t>Cowes</t>
  </si>
  <si>
    <t>Gas_Oil</t>
  </si>
  <si>
    <t>Cowley</t>
  </si>
  <si>
    <t>Pumped_Storage</t>
  </si>
  <si>
    <t>Crossdykes</t>
  </si>
  <si>
    <t>Ewe Hill</t>
  </si>
  <si>
    <t>Cruachan</t>
  </si>
  <si>
    <t>Crystal Rig II</t>
  </si>
  <si>
    <t>Crystal Rig</t>
  </si>
  <si>
    <t>Crystal Rig III</t>
  </si>
  <si>
    <t>Culligran</t>
  </si>
  <si>
    <t>Damhead Creek</t>
  </si>
  <si>
    <t>Deanie</t>
  </si>
  <si>
    <t>Deeside</t>
  </si>
  <si>
    <t>Dersalloch</t>
  </si>
  <si>
    <t>Didcot B</t>
  </si>
  <si>
    <t>Didcot GTs</t>
  </si>
  <si>
    <t>Dinorwig</t>
  </si>
  <si>
    <t>400_&gt;=1320 MW_No redundancy</t>
  </si>
  <si>
    <t>Dorenell</t>
  </si>
  <si>
    <t>Drax</t>
  </si>
  <si>
    <t>Dudgeon</t>
  </si>
  <si>
    <t>400_&lt;1320 MW_Dudgeon</t>
  </si>
  <si>
    <t>Dungeness B</t>
  </si>
  <si>
    <t>Nuclear</t>
  </si>
  <si>
    <t>Dunlaw Extension</t>
  </si>
  <si>
    <t>Dunmaglass</t>
  </si>
  <si>
    <t>East Anglia 1</t>
  </si>
  <si>
    <t>400_&lt;1320 MW_East Anglia</t>
  </si>
  <si>
    <t>Edinbane Wind</t>
  </si>
  <si>
    <t>Edinbane</t>
  </si>
  <si>
    <t>Errochty</t>
  </si>
  <si>
    <t>Fallago</t>
  </si>
  <si>
    <t>Farr Windfarm</t>
  </si>
  <si>
    <t>Farr</t>
  </si>
  <si>
    <t>Fasnakyle G1 &amp; G3</t>
  </si>
  <si>
    <t>Fawley CHP</t>
  </si>
  <si>
    <t>Ffestiniog</t>
  </si>
  <si>
    <t>Fiddlers Ferry</t>
  </si>
  <si>
    <t>Finlarig</t>
  </si>
  <si>
    <t>Foyers</t>
  </si>
  <si>
    <t>Freasdail</t>
  </si>
  <si>
    <t>Galawhistle</t>
  </si>
  <si>
    <t>Galloper</t>
  </si>
  <si>
    <t>132_&lt;1320 MW_Galloper</t>
  </si>
  <si>
    <t>Glen App</t>
  </si>
  <si>
    <t>Glendoe</t>
  </si>
  <si>
    <t>Glenmoriston</t>
  </si>
  <si>
    <t>Gordonbush</t>
  </si>
  <si>
    <t>Grain</t>
  </si>
  <si>
    <t>Grangemouth</t>
  </si>
  <si>
    <t>Great Yarmouth</t>
  </si>
  <si>
    <t>Greater Gabbard</t>
  </si>
  <si>
    <t>132_&lt;1320 MW_Greater Gabbard</t>
  </si>
  <si>
    <t>Griffin Wind</t>
  </si>
  <si>
    <t>Gunfleet Sands I</t>
  </si>
  <si>
    <t>Gunfleet Sands</t>
  </si>
  <si>
    <t>132_&lt;1320 MW_Gunfleet Sands</t>
  </si>
  <si>
    <t>Gunfleet Sands II</t>
  </si>
  <si>
    <t>Gwynt y Mor</t>
  </si>
  <si>
    <t>275_&lt;1320 MW_Gwynt y Mor</t>
  </si>
  <si>
    <t>Hadyard Hill</t>
  </si>
  <si>
    <t>Halsary Wind Farm</t>
  </si>
  <si>
    <t>Harestanes</t>
  </si>
  <si>
    <t>Hartlepool</t>
  </si>
  <si>
    <t>Heysham</t>
  </si>
  <si>
    <t>Hinkley Point B</t>
  </si>
  <si>
    <t>Hornsea 1A</t>
  </si>
  <si>
    <t>Hornsea 1</t>
  </si>
  <si>
    <t>400_&gt;=1320 MW_Hornsea 1</t>
  </si>
  <si>
    <t>Hornsea 1B</t>
  </si>
  <si>
    <t>Hornsea 1C</t>
  </si>
  <si>
    <t>Humber Gateway</t>
  </si>
  <si>
    <t>275_&lt;1320 MW_Humber Gateway</t>
  </si>
  <si>
    <t>Hunterston</t>
  </si>
  <si>
    <t>400_&lt;1320 MW_No redundancy</t>
  </si>
  <si>
    <t>Immingham</t>
  </si>
  <si>
    <t>Indian Queens</t>
  </si>
  <si>
    <t>Invergarry</t>
  </si>
  <si>
    <t>J G Pears</t>
  </si>
  <si>
    <t>Biomass</t>
  </si>
  <si>
    <t>Keadby</t>
  </si>
  <si>
    <t>Keith Hill</t>
  </si>
  <si>
    <t>Kemsley</t>
  </si>
  <si>
    <t>Kilbraur</t>
  </si>
  <si>
    <t>Strathbrora</t>
  </si>
  <si>
    <t>Kilgallioch</t>
  </si>
  <si>
    <t>Killingholme (Powergen)</t>
  </si>
  <si>
    <t>Kilmorack</t>
  </si>
  <si>
    <t>Kings Lynn</t>
  </si>
  <si>
    <t>Kype Muir</t>
  </si>
  <si>
    <t>Langage</t>
  </si>
  <si>
    <t>Lincs Wind Farm</t>
  </si>
  <si>
    <t>Lincs</t>
  </si>
  <si>
    <t>275_&lt;1320 MW_Lincs</t>
  </si>
  <si>
    <t>Little Barford</t>
  </si>
  <si>
    <t>Lochay</t>
  </si>
  <si>
    <t>Lochluichart</t>
  </si>
  <si>
    <t>London Array</t>
  </si>
  <si>
    <t>132_&lt;1320 MW_London Array</t>
  </si>
  <si>
    <t>Luichart</t>
  </si>
  <si>
    <t>Lynemouth</t>
  </si>
  <si>
    <t>Marchwood</t>
  </si>
  <si>
    <t>Mark Hill</t>
  </si>
  <si>
    <t>Medway</t>
  </si>
  <si>
    <t>Middle Muir</t>
  </si>
  <si>
    <t>Millennium Wind</t>
  </si>
  <si>
    <t>Minnygap</t>
  </si>
  <si>
    <t>Moffat</t>
  </si>
  <si>
    <t>Mossford</t>
  </si>
  <si>
    <t>Nant</t>
  </si>
  <si>
    <t>Nursling Tertiary</t>
  </si>
  <si>
    <t>Ormonde</t>
  </si>
  <si>
    <t>132_&gt;=1320 MW_Ormonde</t>
  </si>
  <si>
    <t>Orrin</t>
  </si>
  <si>
    <t>Pembroke</t>
  </si>
  <si>
    <t>Pen Y Cymoedd</t>
  </si>
  <si>
    <t>Rhigos</t>
  </si>
  <si>
    <t>Peterborough</t>
  </si>
  <si>
    <t>Peterhead</t>
  </si>
  <si>
    <t>Pogbie</t>
  </si>
  <si>
    <t>Race Bank</t>
  </si>
  <si>
    <t>400_&lt;1320 MW_Race Bank</t>
  </si>
  <si>
    <t>Rampion</t>
  </si>
  <si>
    <t>400_&lt;1320 MW_Rampion</t>
  </si>
  <si>
    <t>Ratcliffe-on-Soar</t>
  </si>
  <si>
    <t>Robin Rigg East</t>
  </si>
  <si>
    <t>132_&lt;1320 MW_Robin Rigg East</t>
  </si>
  <si>
    <t>Robin Rigg West</t>
  </si>
  <si>
    <t>132_&lt;1320 MW_Robin Rigg West</t>
  </si>
  <si>
    <t>Rocksavage</t>
  </si>
  <si>
    <t>Rye House</t>
  </si>
  <si>
    <t>Saltend</t>
  </si>
  <si>
    <t>Sanquhar</t>
  </si>
  <si>
    <t>Glenglass</t>
  </si>
  <si>
    <t>Seabank</t>
  </si>
  <si>
    <t>Sellafield</t>
  </si>
  <si>
    <t>Severn Power</t>
  </si>
  <si>
    <t>Sheringham Shoal</t>
  </si>
  <si>
    <t>400_&lt;1320 MW_Sheringham Shoal</t>
  </si>
  <si>
    <t>Shoreham</t>
  </si>
  <si>
    <t>Sizewell B</t>
  </si>
  <si>
    <t>Sloy G2 &amp; G3</t>
  </si>
  <si>
    <t>South Humber Bank</t>
  </si>
  <si>
    <t>Spalding</t>
  </si>
  <si>
    <t>Spalding Energy Expansion</t>
  </si>
  <si>
    <t>Staythorpe</t>
  </si>
  <si>
    <t>Strathy North &amp; South</t>
  </si>
  <si>
    <t>Strathy Wind</t>
  </si>
  <si>
    <t>Stronelairg</t>
  </si>
  <si>
    <t>Sutton Bridge</t>
  </si>
  <si>
    <t>Taylors Lane</t>
  </si>
  <si>
    <t>Tees Renewable</t>
  </si>
  <si>
    <t>Thanet</t>
  </si>
  <si>
    <t>400_&lt;1320 MW_Thanet</t>
  </si>
  <si>
    <t>Toddleburn</t>
  </si>
  <si>
    <t>Torness</t>
  </si>
  <si>
    <t>Tralorg</t>
  </si>
  <si>
    <t>Triton Knoll Offshore Wind Farm</t>
  </si>
  <si>
    <t>400_&lt;1320 MW_Triton Knoll Offshore Wind Farm</t>
  </si>
  <si>
    <t>Uskmouth</t>
  </si>
  <si>
    <t>Walney 4</t>
  </si>
  <si>
    <t>400_&lt;1320 MW_Walney 4</t>
  </si>
  <si>
    <t>Walney I</t>
  </si>
  <si>
    <t>Walney 1</t>
  </si>
  <si>
    <t>132_&gt;=1320 MW_Walney I</t>
  </si>
  <si>
    <t>Walney II</t>
  </si>
  <si>
    <t>Walney 2</t>
  </si>
  <si>
    <t>132_&lt;1320 MW_Walney II</t>
  </si>
  <si>
    <t>Walney III</t>
  </si>
  <si>
    <t>400_&lt;1320 MW_Walney III</t>
  </si>
  <si>
    <t>West Burton</t>
  </si>
  <si>
    <t>West Burton B</t>
  </si>
  <si>
    <t>West Of Duddon Sands</t>
  </si>
  <si>
    <t>West of Duddon Sands</t>
  </si>
  <si>
    <t>275_&gt;=1320 MW_West of Duddon Sands</t>
  </si>
  <si>
    <t>Westermost Rough</t>
  </si>
  <si>
    <t>275_&lt;1320 MW_Westermost Rough</t>
  </si>
  <si>
    <t>Whitelee</t>
  </si>
  <si>
    <t>Whitelee Extension</t>
  </si>
  <si>
    <t>Whiteside Hill</t>
  </si>
  <si>
    <t>Wilton</t>
  </si>
  <si>
    <t>Windy Standard II</t>
  </si>
  <si>
    <t>Dunhill</t>
  </si>
  <si>
    <t>Wylfa</t>
  </si>
  <si>
    <t>Local Offshore Circuit</t>
  </si>
  <si>
    <t>Local Offshore Substation</t>
  </si>
  <si>
    <t>Local Onshore Circuit</t>
  </si>
  <si>
    <t>Local Onshore Substation</t>
  </si>
  <si>
    <t>Aberarder</t>
  </si>
  <si>
    <t>Beinneun Wind Farm</t>
  </si>
  <si>
    <t>Bhlaraidh Wind Farm</t>
  </si>
  <si>
    <t>BlackCraig Wind Farm</t>
  </si>
  <si>
    <t>BlackLaw Extension</t>
  </si>
  <si>
    <t>Dumnaglass</t>
  </si>
  <si>
    <t>Ffestiniogg</t>
  </si>
  <si>
    <t>Middleton</t>
  </si>
  <si>
    <t xml:space="preserve">Millennium Wind </t>
  </si>
  <si>
    <t>Necton</t>
  </si>
  <si>
    <t>New Deer</t>
  </si>
  <si>
    <t>Burbo Bank</t>
  </si>
  <si>
    <t>Gunfleet</t>
  </si>
  <si>
    <t>Gwynt Y Mor</t>
  </si>
  <si>
    <t>Local Circuit Tariffs</t>
  </si>
  <si>
    <t>132_&gt;=1320 MW_No redundancy</t>
  </si>
  <si>
    <t>N/A</t>
  </si>
  <si>
    <t>132_&gt;=1320 MW_Redundancy</t>
  </si>
  <si>
    <t>275_&gt;=1320 MW_No redundancy</t>
  </si>
  <si>
    <t>275_&gt;=1320 MW_Redundancy</t>
  </si>
  <si>
    <t>Local Substation Tariffs</t>
  </si>
  <si>
    <t>KEY:</t>
  </si>
  <si>
    <t>Values from reconciliation</t>
  </si>
  <si>
    <t>Calculated</t>
  </si>
  <si>
    <t>Source: actual TNUoS Generation Reconciliation ('S:\Charging and Billing\TNUoS Charging\2020-21\Reconciliations\GenRec 2020_21\Generation reconciliation 2020_21 v1.0.xlsm') and calculated values to breakdown charges by onshore and offshore,  embedded, etc</t>
  </si>
  <si>
    <t>Aka</t>
  </si>
  <si>
    <t>REVENUE:
Residual</t>
  </si>
  <si>
    <t>REVENUE:
Wider</t>
  </si>
  <si>
    <t>REVENUE:
Wider + Residual</t>
  </si>
  <si>
    <t>REVENUE:
Onshore Local</t>
  </si>
  <si>
    <t>REVENUE:
Offshore Local</t>
  </si>
  <si>
    <t>Reconciled to source</t>
  </si>
  <si>
    <t>REVENUE:
Gen Peaks - Wider</t>
  </si>
  <si>
    <t>Negative Tariff:
Wider</t>
  </si>
  <si>
    <t>ALL GENERATORS --&gt;</t>
  </si>
  <si>
    <t>CHECK TOTAL         --&gt;</t>
  </si>
  <si>
    <t>EMBEDDED             --&gt;</t>
  </si>
  <si>
    <t>WIDER</t>
  </si>
  <si>
    <t>ONSHORE LOCAL</t>
  </si>
  <si>
    <t>OFFSHORE LOCAL</t>
  </si>
  <si>
    <t>Negative Tariff:
Onshore Local</t>
  </si>
  <si>
    <t>Negative Tariff:
Offshore Local</t>
  </si>
  <si>
    <t>REVENUE:
Gen Peaks - Onshore Local</t>
  </si>
  <si>
    <t>REVENUE:
Gen Peaks - Offshore Local</t>
  </si>
  <si>
    <t>TOTAL</t>
  </si>
  <si>
    <t>Total Invoiced (Gen Liability.xls)</t>
  </si>
  <si>
    <t>TOTAL GENERATION TNUoS REVENUE (incl. Demand)</t>
  </si>
  <si>
    <t>Eligible revenue</t>
  </si>
  <si>
    <t>DEMAND</t>
  </si>
  <si>
    <t>Tx                               --&gt;</t>
  </si>
  <si>
    <t>SUMMARY</t>
  </si>
  <si>
    <t>Out-turn Compliance with EU Limiting Regulation - TNUoS Generation Revenue</t>
  </si>
  <si>
    <t>Tx</t>
  </si>
  <si>
    <t>DG</t>
  </si>
  <si>
    <t>REVENUE (£m)</t>
  </si>
  <si>
    <t>Gen Peaks split
RESIDUAL</t>
  </si>
  <si>
    <t>Gen Peaks split
WIDER</t>
  </si>
  <si>
    <t>Wider excl. Res</t>
  </si>
  <si>
    <t>Jan</t>
  </si>
  <si>
    <t>Rec</t>
  </si>
  <si>
    <t>Diff</t>
  </si>
  <si>
    <t>Residual value</t>
  </si>
  <si>
    <t>NEW</t>
  </si>
  <si>
    <t>Didcot</t>
  </si>
  <si>
    <t>Change in Wider Revenue, from Dec Forecast</t>
  </si>
  <si>
    <t>Plus KL and Didcot</t>
  </si>
  <si>
    <t>TEC Impact</t>
  </si>
  <si>
    <t>2017/18</t>
  </si>
  <si>
    <t>2018/19</t>
  </si>
  <si>
    <t>2019/20</t>
  </si>
  <si>
    <t>Adjustment due to Peak Export &lt; TEC (£m)</t>
  </si>
  <si>
    <t>Low</t>
  </si>
  <si>
    <t>Mid</t>
  </si>
  <si>
    <t>High</t>
  </si>
  <si>
    <t>Out-turn</t>
  </si>
  <si>
    <t>Transmission Connected</t>
  </si>
  <si>
    <t>Stations w. -ve tariff
(left-hand axis)</t>
  </si>
  <si>
    <t>Large Embedded</t>
  </si>
  <si>
    <t>Wider</t>
  </si>
  <si>
    <t>Local Onshore</t>
  </si>
  <si>
    <t>Local Offshore</t>
  </si>
  <si>
    <t>TOTAL TNUoS GENERATION</t>
  </si>
  <si>
    <t>Net Station Demand</t>
  </si>
  <si>
    <t>TOTAL TNUoS CHARGES</t>
  </si>
  <si>
    <t>Gen Peak</t>
  </si>
  <si>
    <t>Additional billing</t>
  </si>
  <si>
    <t>Local
Offshore</t>
  </si>
  <si>
    <t>Local
Onshore</t>
  </si>
  <si>
    <t>ALL GENERATORS</t>
  </si>
  <si>
    <t>TNUoS Generation Revenue excl. demand charges, £m</t>
  </si>
  <si>
    <t>Actual Generation Output, MWh</t>
  </si>
  <si>
    <t>Eligible Revenue, £m</t>
  </si>
  <si>
    <t>£/€ Exchange Rate (daily average)</t>
  </si>
  <si>
    <t>Out-turn €/MWh</t>
  </si>
  <si>
    <t>DECEMBER</t>
  </si>
  <si>
    <t>OUT-TURN</t>
  </si>
  <si>
    <t>CHANGE</t>
  </si>
  <si>
    <t>Wider locational BCA</t>
  </si>
  <si>
    <t>Wider non-locational BCA</t>
  </si>
  <si>
    <t>Wider locational large EG</t>
  </si>
  <si>
    <t>Wider non-locational large EG</t>
  </si>
  <si>
    <t>Revenue Inclusion (£m)</t>
  </si>
  <si>
    <t>Revenue Exclusion (£m)</t>
  </si>
  <si>
    <t>Volume Inclusion (MWh)</t>
  </si>
  <si>
    <t>Volume Exclusion (MWh)</t>
  </si>
  <si>
    <t>BCA (directly connected)</t>
  </si>
  <si>
    <t>Large embedded</t>
  </si>
  <si>
    <t>station demand charge BCA</t>
  </si>
  <si>
    <t>station demand charge large EG</t>
  </si>
  <si>
    <t>Eligible output (MWh)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</si>
</sst>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quot;* #,##0.00_-;\-&quot;£&quot;* #,##0.00_-;_-&quot;£&quot;* &quot;-&quot;??_-;_-@_-"/>
    <numFmt numFmtId="43" formatCode="_-* #,##0.00_-;\-* #,##0.00_-;_-* &quot;-&quot;??_-;_-@_-"/>
    <numFmt numFmtId="164" formatCode="_-* #,##0_-;\-* #,##0_-;_-* &quot;-&quot;??_-;_-@_-"/>
    <numFmt numFmtId="165" formatCode="_-[$€-2]\ * #,##0.0000_-;\-[$€-2]\ * #,##0.0000_-;_-[$€-2]\ * &quot;-&quot;??_-;_-@_-"/>
    <numFmt numFmtId="166" formatCode="_-[$€-2]\ * #,##0.000_-;\-[$€-2]\ * #,##0.000_-;_-[$€-2]\ * &quot;-&quot;??_-;_-@_-"/>
    <numFmt numFmtId="167" formatCode="_-[$€-2]\ * #,##0.00_-;\-[$€-2]\ * #,##0.00_-;_-[$€-2]\ * &quot;-&quot;??_-;_-@_-"/>
    <numFmt numFmtId="168" formatCode="0.0000%"/>
    <numFmt numFmtId="169" formatCode="0.0"/>
    <numFmt numFmtId="170" formatCode="0.000000"/>
    <numFmt numFmtId="171" formatCode="&quot;£&quot;#,##0.00"/>
    <numFmt numFmtId="172" formatCode="#,##0.000000"/>
    <numFmt numFmtId="173" formatCode="0.000"/>
    <numFmt numFmtId="174" formatCode="&quot;£&quot;#,##0.000000"/>
    <numFmt numFmtId="175" formatCode="_-* #,##0.000_-;\-* #,##0.000_-;_-* &quot;-&quot;??_-;_-@_-"/>
    <numFmt numFmtId="176" formatCode="_-* #,##0.0000000_-;\-* #,##0.0000000_-;_-* &quot;-&quot;??_-;_-@_-"/>
    <numFmt numFmtId="177" formatCode="_-[$€-2]\ * #,##0.0000000_-;\-[$€-2]\ * #,##0.0000000_-;_-[$€-2]\ * &quot;-&quot;??_-;_-@_-"/>
    <numFmt numFmtId="178" formatCode="_-&quot;£&quot;* #,##0.000_-;\-&quot;£&quot;* #,##0.000_-;_-&quot;£&quot;* &quot;-&quot;??_-;_-@_-"/>
  </numFmts>
  <fonts count="23" x14ac:knownFonts="1">
    <font>
      <sz val="11"/>
      <color theme="1"/>
      <name val="Calibri"/>
      <family val="2"/>
      <scheme val="minor"/>
    </font>
    <font>
      <sz val="11"/>
      <color theme="1"/>
      <name val="Calibri"/>
      <family val="2"/>
      <scheme val="minor"/>
    </font>
    <font>
      <b/>
      <sz val="11"/>
      <color theme="1"/>
      <name val="Calibri"/>
      <family val="2"/>
      <scheme val="minor"/>
    </font>
    <font>
      <b/>
      <sz val="11"/>
      <color rgb="FFFF0000"/>
      <name val="Calibri"/>
      <family val="2"/>
      <scheme val="minor"/>
    </font>
    <font>
      <b/>
      <sz val="11"/>
      <name val="Calibri"/>
      <family val="2"/>
      <scheme val="minor"/>
    </font>
    <font>
      <i/>
      <sz val="11"/>
      <color theme="1"/>
      <name val="Calibri"/>
      <family val="2"/>
      <scheme val="minor"/>
    </font>
    <font>
      <b/>
      <i/>
      <sz val="11"/>
      <color theme="1"/>
      <name val="Calibri"/>
      <family val="2"/>
      <scheme val="minor"/>
    </font>
    <font>
      <sz val="11"/>
      <name val="Calibri"/>
      <family val="2"/>
    </font>
    <font>
      <b/>
      <sz val="11"/>
      <name val="Calibri"/>
      <family val="2"/>
    </font>
    <font>
      <b/>
      <sz val="8"/>
      <name val="Arial"/>
      <family val="2"/>
    </font>
    <font>
      <b/>
      <sz val="8"/>
      <color theme="1"/>
      <name val="Arial"/>
      <family val="2"/>
    </font>
    <font>
      <sz val="8"/>
      <name val="Arial"/>
      <family val="2"/>
    </font>
    <font>
      <sz val="9"/>
      <color indexed="81"/>
      <name val="Tahoma"/>
      <family val="2"/>
    </font>
    <font>
      <b/>
      <sz val="9"/>
      <color indexed="81"/>
      <name val="Tahoma"/>
      <family val="2"/>
    </font>
    <font>
      <b/>
      <sz val="11"/>
      <color theme="0"/>
      <name val="Calibri"/>
      <family val="2"/>
      <scheme val="minor"/>
    </font>
    <font>
      <b/>
      <sz val="16"/>
      <color theme="1"/>
      <name val="Calibri"/>
      <family val="2"/>
      <scheme val="minor"/>
    </font>
    <font>
      <b/>
      <sz val="12"/>
      <color rgb="FF000000"/>
      <name val="Calibri"/>
      <family val="2"/>
    </font>
    <font>
      <sz val="12"/>
      <color rgb="FF000000"/>
      <name val="Calibri"/>
      <family val="2"/>
    </font>
    <font>
      <b/>
      <sz val="12"/>
      <color theme="1"/>
      <name val="Calibri"/>
      <family val="2"/>
      <scheme val="minor"/>
    </font>
    <font>
      <sz val="12"/>
      <color theme="1"/>
      <name val="Calibri"/>
      <family val="2"/>
      <scheme val="minor"/>
    </font>
    <font>
      <b/>
      <i/>
      <sz val="12"/>
      <color theme="1"/>
      <name val="Calibri"/>
      <family val="2"/>
      <scheme val="minor"/>
    </font>
    <font>
      <i/>
      <sz val="12"/>
      <color theme="1"/>
      <name val="Calibri"/>
      <family val="2"/>
      <scheme val="minor"/>
    </font>
    <font>
      <b/>
      <sz val="20"/>
      <color theme="1"/>
      <name val="Calibri"/>
      <family val="2"/>
      <scheme val="minor"/>
    </font>
  </fonts>
  <fills count="15">
    <fill>
      <patternFill patternType="none"/>
    </fill>
    <fill>
      <patternFill patternType="gray125"/>
    </fill>
    <fill>
      <patternFill patternType="solid">
        <fgColor rgb="FF92D050"/>
        <bgColor indexed="64"/>
      </patternFill>
    </fill>
    <fill>
      <patternFill patternType="solid">
        <fgColor theme="2" tint="-0.249977111117893"/>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bgColor indexed="64"/>
      </patternFill>
    </fill>
    <fill>
      <patternFill patternType="solid">
        <fgColor theme="8"/>
        <bgColor indexed="64"/>
      </patternFill>
    </fill>
    <fill>
      <patternFill patternType="solid">
        <fgColor rgb="FF7030A0"/>
        <bgColor indexed="64"/>
      </patternFill>
    </fill>
    <fill>
      <patternFill patternType="solid">
        <fgColor theme="2"/>
        <bgColor indexed="64"/>
      </patternFill>
    </fill>
    <fill>
      <patternFill patternType="solid">
        <fgColor theme="7"/>
        <bgColor indexed="64"/>
      </patternFill>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theme="5" tint="0.59996337778862885"/>
      </left>
      <right style="thin">
        <color theme="5" tint="0.59996337778862885"/>
      </right>
      <top style="thin">
        <color indexed="64"/>
      </top>
      <bottom style="thin">
        <color theme="5" tint="0.59996337778862885"/>
      </bottom>
      <diagonal/>
    </border>
    <border>
      <left style="thin">
        <color theme="5" tint="0.59996337778862885"/>
      </left>
      <right style="thin">
        <color theme="5" tint="0.59996337778862885"/>
      </right>
      <top/>
      <bottom style="thin">
        <color theme="5" tint="0.59996337778862885"/>
      </bottom>
      <diagonal/>
    </border>
    <border>
      <left style="thin">
        <color theme="5" tint="0.59996337778862885"/>
      </left>
      <right/>
      <top/>
      <bottom style="thin">
        <color theme="5" tint="0.59996337778862885"/>
      </bottom>
      <diagonal/>
    </border>
    <border>
      <left/>
      <right style="thin">
        <color theme="5" tint="0.59996337778862885"/>
      </right>
      <top style="thin">
        <color theme="5" tint="0.59996337778862885"/>
      </top>
      <bottom style="thin">
        <color theme="5" tint="0.59996337778862885"/>
      </bottom>
      <diagonal/>
    </border>
    <border>
      <left style="thin">
        <color theme="5" tint="0.59996337778862885"/>
      </left>
      <right style="thin">
        <color theme="5" tint="0.59996337778862885"/>
      </right>
      <top style="thin">
        <color theme="5" tint="0.59996337778862885"/>
      </top>
      <bottom style="thin">
        <color theme="5" tint="0.59996337778862885"/>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right style="thin">
        <color rgb="FF000000"/>
      </right>
      <top/>
      <bottom style="thin">
        <color indexed="64"/>
      </bottom>
      <diagonal/>
    </border>
    <border>
      <left style="medium">
        <color auto="1"/>
      </left>
      <right style="medium">
        <color auto="1"/>
      </right>
      <top style="medium">
        <color auto="1"/>
      </top>
      <bottom style="dashed">
        <color auto="1"/>
      </bottom>
      <diagonal/>
    </border>
    <border>
      <left style="medium">
        <color auto="1"/>
      </left>
      <right style="medium">
        <color auto="1"/>
      </right>
      <top style="dashed">
        <color auto="1"/>
      </top>
      <bottom style="medium">
        <color auto="1"/>
      </bottom>
      <diagonal/>
    </border>
    <border>
      <left style="thin">
        <color auto="1"/>
      </left>
      <right style="dashed">
        <color auto="1"/>
      </right>
      <top style="thin">
        <color auto="1"/>
      </top>
      <bottom style="dashed">
        <color auto="1"/>
      </bottom>
      <diagonal/>
    </border>
    <border>
      <left style="dashed">
        <color auto="1"/>
      </left>
      <right style="dashed">
        <color auto="1"/>
      </right>
      <top style="thin">
        <color auto="1"/>
      </top>
      <bottom style="dashed">
        <color auto="1"/>
      </bottom>
      <diagonal/>
    </border>
    <border>
      <left style="dashed">
        <color auto="1"/>
      </left>
      <right style="hair">
        <color auto="1"/>
      </right>
      <top style="thin">
        <color auto="1"/>
      </top>
      <bottom style="dashed">
        <color auto="1"/>
      </bottom>
      <diagonal/>
    </border>
    <border>
      <left style="thin">
        <color auto="1"/>
      </left>
      <right style="dashed">
        <color auto="1"/>
      </right>
      <top style="dashed">
        <color auto="1"/>
      </top>
      <bottom style="thin">
        <color auto="1"/>
      </bottom>
      <diagonal/>
    </border>
    <border>
      <left style="dashed">
        <color auto="1"/>
      </left>
      <right style="dashed">
        <color auto="1"/>
      </right>
      <top style="dashed">
        <color auto="1"/>
      </top>
      <bottom style="thin">
        <color auto="1"/>
      </bottom>
      <diagonal/>
    </border>
    <border>
      <left style="dashed">
        <color auto="1"/>
      </left>
      <right style="hair">
        <color auto="1"/>
      </right>
      <top style="dashed">
        <color auto="1"/>
      </top>
      <bottom style="thin">
        <color auto="1"/>
      </bottom>
      <diagonal/>
    </border>
    <border>
      <left style="hair">
        <color auto="1"/>
      </left>
      <right style="thin">
        <color auto="1"/>
      </right>
      <top style="thin">
        <color auto="1"/>
      </top>
      <bottom style="dashed">
        <color auto="1"/>
      </bottom>
      <diagonal/>
    </border>
    <border>
      <left style="hair">
        <color auto="1"/>
      </left>
      <right style="thin">
        <color auto="1"/>
      </right>
      <top style="dashed">
        <color auto="1"/>
      </top>
      <bottom style="thin">
        <color auto="1"/>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7" fillId="0" borderId="0"/>
  </cellStyleXfs>
  <cellXfs count="161">
    <xf numFmtId="0" fontId="0" fillId="0" borderId="0" xfId="0"/>
    <xf numFmtId="0" fontId="2" fillId="0" borderId="0" xfId="0" applyFont="1"/>
    <xf numFmtId="43" fontId="2" fillId="0" borderId="0" xfId="0" applyNumberFormat="1" applyFont="1"/>
    <xf numFmtId="0" fontId="0" fillId="2" borderId="0" xfId="0" applyFill="1"/>
    <xf numFmtId="0" fontId="2" fillId="3" borderId="1" xfId="0" applyFont="1" applyFill="1" applyBorder="1"/>
    <xf numFmtId="43" fontId="2" fillId="0" borderId="1" xfId="1" applyFont="1" applyBorder="1"/>
    <xf numFmtId="0" fontId="2" fillId="0" borderId="1" xfId="0" applyFont="1" applyBorder="1"/>
    <xf numFmtId="0" fontId="2" fillId="5" borderId="1" xfId="0" applyFont="1" applyFill="1" applyBorder="1"/>
    <xf numFmtId="0" fontId="2" fillId="5" borderId="1" xfId="0" applyFont="1" applyFill="1" applyBorder="1" applyAlignment="1">
      <alignment wrapText="1"/>
    </xf>
    <xf numFmtId="44" fontId="0" fillId="0" borderId="1" xfId="2" applyFont="1" applyBorder="1"/>
    <xf numFmtId="44" fontId="0" fillId="0" borderId="1" xfId="2" applyFont="1" applyFill="1" applyBorder="1"/>
    <xf numFmtId="44" fontId="0" fillId="0" borderId="1" xfId="0" applyNumberFormat="1" applyFill="1" applyBorder="1"/>
    <xf numFmtId="164" fontId="0" fillId="0" borderId="1" xfId="1" applyNumberFormat="1" applyFont="1" applyFill="1" applyBorder="1"/>
    <xf numFmtId="165" fontId="0" fillId="0" borderId="1" xfId="1" applyNumberFormat="1" applyFont="1" applyFill="1" applyBorder="1"/>
    <xf numFmtId="166" fontId="0" fillId="0" borderId="1" xfId="1" applyNumberFormat="1" applyFont="1" applyFill="1" applyBorder="1"/>
    <xf numFmtId="44" fontId="3" fillId="4" borderId="1" xfId="2" applyFont="1" applyFill="1" applyBorder="1"/>
    <xf numFmtId="44" fontId="4" fillId="4" borderId="1" xfId="2" applyFont="1" applyFill="1" applyBorder="1"/>
    <xf numFmtId="0" fontId="0" fillId="6" borderId="1" xfId="0" applyFill="1" applyBorder="1" applyAlignment="1">
      <alignment horizontal="left"/>
    </xf>
    <xf numFmtId="44" fontId="4" fillId="6" borderId="1" xfId="2" applyFont="1" applyFill="1" applyBorder="1"/>
    <xf numFmtId="44" fontId="3" fillId="7" borderId="1" xfId="2" applyFont="1" applyFill="1" applyBorder="1"/>
    <xf numFmtId="44" fontId="3" fillId="7" borderId="1" xfId="2" applyNumberFormat="1" applyFont="1" applyFill="1" applyBorder="1"/>
    <xf numFmtId="167" fontId="3" fillId="7" borderId="1" xfId="2" applyNumberFormat="1" applyFont="1" applyFill="1" applyBorder="1"/>
    <xf numFmtId="0" fontId="6" fillId="0" borderId="0" xfId="0" applyFont="1" applyBorder="1" applyAlignment="1">
      <alignment horizontal="left"/>
    </xf>
    <xf numFmtId="0" fontId="2" fillId="0" borderId="0" xfId="0" applyFont="1" applyFill="1" applyBorder="1"/>
    <xf numFmtId="0" fontId="0" fillId="0" borderId="0" xfId="0" quotePrefix="1"/>
    <xf numFmtId="0" fontId="6" fillId="0" borderId="0" xfId="0" applyFont="1"/>
    <xf numFmtId="0" fontId="7" fillId="0" borderId="0" xfId="3" applyFont="1" applyFill="1" applyBorder="1"/>
    <xf numFmtId="2" fontId="7" fillId="0" borderId="0" xfId="3" applyNumberFormat="1" applyFont="1" applyFill="1" applyBorder="1"/>
    <xf numFmtId="0" fontId="8" fillId="0" borderId="0" xfId="3" applyFont="1" applyFill="1" applyBorder="1"/>
    <xf numFmtId="0" fontId="8" fillId="0" borderId="0" xfId="3" applyFont="1" applyFill="1" applyBorder="1" applyAlignment="1">
      <alignment horizontal="right"/>
    </xf>
    <xf numFmtId="0" fontId="7" fillId="8" borderId="8" xfId="3" applyFont="1" applyFill="1" applyBorder="1"/>
    <xf numFmtId="0" fontId="11" fillId="0" borderId="9" xfId="0" applyFont="1" applyFill="1" applyBorder="1" applyAlignment="1">
      <alignment horizontal="left"/>
    </xf>
    <xf numFmtId="0" fontId="11" fillId="0" borderId="9" xfId="0" applyFont="1" applyFill="1" applyBorder="1"/>
    <xf numFmtId="168" fontId="11" fillId="0" borderId="10" xfId="0" applyNumberFormat="1" applyFont="1" applyFill="1" applyBorder="1"/>
    <xf numFmtId="169" fontId="11" fillId="0" borderId="11" xfId="0" applyNumberFormat="1" applyFont="1" applyFill="1" applyBorder="1"/>
    <xf numFmtId="0" fontId="11" fillId="0" borderId="12" xfId="0" applyFont="1" applyFill="1" applyBorder="1"/>
    <xf numFmtId="170" fontId="11" fillId="0" borderId="13" xfId="0" applyNumberFormat="1" applyFont="1" applyFill="1" applyBorder="1"/>
    <xf numFmtId="171" fontId="10" fillId="0" borderId="0" xfId="0" applyNumberFormat="1" applyFont="1" applyFill="1"/>
    <xf numFmtId="172" fontId="11" fillId="0" borderId="0" xfId="0" applyNumberFormat="1" applyFont="1" applyFill="1" applyBorder="1" applyAlignment="1">
      <alignment horizontal="center"/>
    </xf>
    <xf numFmtId="171" fontId="11" fillId="0" borderId="0" xfId="0" applyNumberFormat="1" applyFont="1" applyFill="1" applyBorder="1" applyAlignment="1">
      <alignment horizontal="center"/>
    </xf>
    <xf numFmtId="173" fontId="11" fillId="0" borderId="0" xfId="0" applyNumberFormat="1" applyFont="1" applyFill="1" applyBorder="1" applyAlignment="1">
      <alignment horizontal="center"/>
    </xf>
    <xf numFmtId="171" fontId="0" fillId="0" borderId="0" xfId="0" applyNumberFormat="1" applyFill="1"/>
    <xf numFmtId="171" fontId="0" fillId="0" borderId="0" xfId="0" applyNumberFormat="1" applyFont="1" applyFill="1"/>
    <xf numFmtId="0" fontId="11" fillId="0" borderId="10" xfId="0" applyFont="1" applyFill="1" applyBorder="1" applyAlignment="1">
      <alignment horizontal="left"/>
    </xf>
    <xf numFmtId="0" fontId="11" fillId="0" borderId="13" xfId="0" applyFont="1" applyFill="1" applyBorder="1" applyAlignment="1">
      <alignment horizontal="left"/>
    </xf>
    <xf numFmtId="0" fontId="11" fillId="0" borderId="13" xfId="0" applyFont="1" applyFill="1" applyBorder="1"/>
    <xf numFmtId="170" fontId="11" fillId="8" borderId="13" xfId="0" applyNumberFormat="1" applyFont="1" applyFill="1" applyBorder="1"/>
    <xf numFmtId="0" fontId="0" fillId="9" borderId="1" xfId="0" applyFill="1" applyBorder="1"/>
    <xf numFmtId="0" fontId="0" fillId="10" borderId="1" xfId="0" applyFill="1" applyBorder="1"/>
    <xf numFmtId="0" fontId="9" fillId="10" borderId="1"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9" fillId="9" borderId="5" xfId="0" applyFont="1" applyFill="1" applyBorder="1" applyAlignment="1">
      <alignment horizontal="center" vertical="center" wrapText="1"/>
    </xf>
    <xf numFmtId="0" fontId="10" fillId="9" borderId="1" xfId="0" applyFont="1" applyFill="1" applyBorder="1" applyAlignment="1">
      <alignment horizontal="center" vertical="center" wrapText="1"/>
    </xf>
    <xf numFmtId="44" fontId="11" fillId="0" borderId="13" xfId="2" applyFont="1" applyFill="1" applyBorder="1"/>
    <xf numFmtId="44" fontId="0" fillId="0" borderId="0" xfId="0" applyNumberFormat="1"/>
    <xf numFmtId="44" fontId="2" fillId="0" borderId="0" xfId="0" applyNumberFormat="1" applyFont="1"/>
    <xf numFmtId="171" fontId="2" fillId="2" borderId="0" xfId="0" applyNumberFormat="1" applyFont="1" applyFill="1"/>
    <xf numFmtId="171" fontId="2" fillId="0" borderId="0" xfId="0" applyNumberFormat="1" applyFont="1" applyFill="1"/>
    <xf numFmtId="174" fontId="0" fillId="0" borderId="0" xfId="0" applyNumberFormat="1" applyFill="1"/>
    <xf numFmtId="44" fontId="2" fillId="0" borderId="0" xfId="2" applyFont="1"/>
    <xf numFmtId="44" fontId="2" fillId="2" borderId="0" xfId="2" applyFont="1" applyFill="1"/>
    <xf numFmtId="0" fontId="2" fillId="2" borderId="0" xfId="0" applyFont="1" applyFill="1"/>
    <xf numFmtId="0" fontId="0" fillId="2" borderId="1" xfId="0" applyFill="1" applyBorder="1"/>
    <xf numFmtId="0" fontId="9" fillId="9" borderId="6" xfId="0" applyFont="1" applyFill="1" applyBorder="1" applyAlignment="1">
      <alignment horizontal="center" vertical="center" wrapText="1"/>
    </xf>
    <xf numFmtId="171" fontId="0" fillId="0" borderId="0" xfId="0" applyNumberFormat="1"/>
    <xf numFmtId="44" fontId="14" fillId="11" borderId="8" xfId="0" applyNumberFormat="1" applyFont="1" applyFill="1" applyBorder="1"/>
    <xf numFmtId="44" fontId="0" fillId="0" borderId="1" xfId="0" applyNumberFormat="1" applyBorder="1"/>
    <xf numFmtId="44" fontId="14" fillId="11" borderId="1" xfId="0" applyNumberFormat="1" applyFont="1" applyFill="1" applyBorder="1"/>
    <xf numFmtId="44" fontId="2" fillId="2" borderId="1" xfId="2" applyFont="1" applyFill="1" applyBorder="1"/>
    <xf numFmtId="0" fontId="2" fillId="5" borderId="1" xfId="0" applyFont="1" applyFill="1" applyBorder="1" applyAlignment="1">
      <alignment horizontal="center"/>
    </xf>
    <xf numFmtId="0" fontId="2" fillId="12" borderId="2" xfId="0" applyFont="1" applyFill="1" applyBorder="1"/>
    <xf numFmtId="0" fontId="0" fillId="12" borderId="4" xfId="0" applyFill="1" applyBorder="1"/>
    <xf numFmtId="0" fontId="0" fillId="12" borderId="3" xfId="0" applyFill="1" applyBorder="1"/>
    <xf numFmtId="44" fontId="0" fillId="0" borderId="0" xfId="2" applyFont="1"/>
    <xf numFmtId="169" fontId="0" fillId="0" borderId="0" xfId="0" applyNumberFormat="1"/>
    <xf numFmtId="43" fontId="0" fillId="0" borderId="0" xfId="1" applyFont="1"/>
    <xf numFmtId="0" fontId="18" fillId="0" borderId="0" xfId="0" applyFont="1"/>
    <xf numFmtId="0" fontId="19" fillId="0" borderId="0" xfId="0" applyFont="1"/>
    <xf numFmtId="0" fontId="18" fillId="0" borderId="0" xfId="0" applyFont="1" applyAlignment="1">
      <alignment horizontal="right"/>
    </xf>
    <xf numFmtId="44" fontId="19" fillId="0" borderId="0" xfId="0" applyNumberFormat="1" applyFont="1"/>
    <xf numFmtId="0" fontId="18" fillId="0" borderId="1" xfId="0" applyFont="1" applyBorder="1" applyAlignment="1">
      <alignment horizontal="center"/>
    </xf>
    <xf numFmtId="44" fontId="19" fillId="0" borderId="1" xfId="0" applyNumberFormat="1" applyFont="1" applyBorder="1" applyAlignment="1">
      <alignment horizontal="center"/>
    </xf>
    <xf numFmtId="44" fontId="18" fillId="0" borderId="1" xfId="0" applyNumberFormat="1" applyFont="1" applyBorder="1" applyAlignment="1">
      <alignment horizontal="center"/>
    </xf>
    <xf numFmtId="0" fontId="20" fillId="0" borderId="0" xfId="0" applyFont="1" applyAlignment="1">
      <alignment horizontal="right"/>
    </xf>
    <xf numFmtId="44" fontId="21" fillId="0" borderId="1" xfId="0" applyNumberFormat="1" applyFont="1" applyBorder="1" applyAlignment="1">
      <alignment horizontal="center"/>
    </xf>
    <xf numFmtId="44" fontId="19" fillId="0" borderId="0" xfId="2" applyFont="1"/>
    <xf numFmtId="0" fontId="21" fillId="0" borderId="0" xfId="0" applyFont="1"/>
    <xf numFmtId="0" fontId="19" fillId="0" borderId="0" xfId="0" applyFont="1" applyAlignment="1">
      <alignment horizontal="right"/>
    </xf>
    <xf numFmtId="0" fontId="18" fillId="0" borderId="1" xfId="0" applyFont="1" applyBorder="1" applyAlignment="1">
      <alignment horizontal="center" wrapText="1"/>
    </xf>
    <xf numFmtId="0" fontId="19" fillId="0" borderId="0" xfId="0" applyFont="1" applyAlignment="1">
      <alignment horizontal="right" wrapText="1"/>
    </xf>
    <xf numFmtId="0" fontId="19" fillId="0" borderId="0" xfId="0" applyFont="1" applyAlignment="1">
      <alignment horizontal="left"/>
    </xf>
    <xf numFmtId="0" fontId="16" fillId="13" borderId="18" xfId="0" applyFont="1" applyFill="1" applyBorder="1" applyAlignment="1">
      <alignment horizontal="center" vertical="top" wrapText="1" readingOrder="1"/>
    </xf>
    <xf numFmtId="0" fontId="18" fillId="0" borderId="1" xfId="0" applyFont="1" applyFill="1" applyBorder="1"/>
    <xf numFmtId="175" fontId="17" fillId="0" borderId="14" xfId="1" applyNumberFormat="1" applyFont="1" applyFill="1" applyBorder="1" applyAlignment="1">
      <alignment wrapText="1" readingOrder="1"/>
    </xf>
    <xf numFmtId="175" fontId="16" fillId="0" borderId="14" xfId="1" applyNumberFormat="1" applyFont="1" applyFill="1" applyBorder="1" applyAlignment="1">
      <alignment wrapText="1" readingOrder="1"/>
    </xf>
    <xf numFmtId="43" fontId="16" fillId="0" borderId="14" xfId="1" applyNumberFormat="1" applyFont="1" applyFill="1" applyBorder="1" applyAlignment="1">
      <alignment wrapText="1" readingOrder="1"/>
    </xf>
    <xf numFmtId="177" fontId="0" fillId="0" borderId="0" xfId="0" applyNumberFormat="1"/>
    <xf numFmtId="176" fontId="0" fillId="0" borderId="0" xfId="0" applyNumberFormat="1"/>
    <xf numFmtId="175" fontId="17" fillId="0" borderId="17" xfId="1" applyNumberFormat="1" applyFont="1" applyFill="1" applyBorder="1" applyAlignment="1">
      <alignment wrapText="1" readingOrder="1"/>
    </xf>
    <xf numFmtId="175" fontId="17" fillId="0" borderId="1" xfId="1" applyNumberFormat="1" applyFont="1" applyFill="1" applyBorder="1" applyAlignment="1">
      <alignment wrapText="1" readingOrder="1"/>
    </xf>
    <xf numFmtId="0" fontId="16" fillId="2" borderId="18" xfId="0" applyFont="1" applyFill="1" applyBorder="1" applyAlignment="1">
      <alignment horizontal="center" vertical="top" wrapText="1" readingOrder="1"/>
    </xf>
    <xf numFmtId="0" fontId="19" fillId="0" borderId="0" xfId="0" applyFont="1" applyAlignment="1"/>
    <xf numFmtId="0" fontId="16" fillId="5" borderId="18" xfId="0" applyFont="1" applyFill="1" applyBorder="1" applyAlignment="1">
      <alignment horizontal="center" vertical="top" wrapText="1" readingOrder="1"/>
    </xf>
    <xf numFmtId="178" fontId="19" fillId="0" borderId="0" xfId="0" applyNumberFormat="1" applyFont="1"/>
    <xf numFmtId="43" fontId="17" fillId="0" borderId="17" xfId="1" applyNumberFormat="1" applyFont="1" applyFill="1" applyBorder="1" applyAlignment="1">
      <alignment wrapText="1" readingOrder="1"/>
    </xf>
    <xf numFmtId="43" fontId="17" fillId="0" borderId="14" xfId="1" applyNumberFormat="1" applyFont="1" applyFill="1" applyBorder="1" applyAlignment="1">
      <alignment wrapText="1" readingOrder="1"/>
    </xf>
    <xf numFmtId="43" fontId="16" fillId="0" borderId="17" xfId="1" applyNumberFormat="1" applyFont="1" applyFill="1" applyBorder="1" applyAlignment="1">
      <alignment wrapText="1" readingOrder="1"/>
    </xf>
    <xf numFmtId="0" fontId="22" fillId="0" borderId="19" xfId="0" applyFont="1" applyBorder="1" applyAlignment="1">
      <alignment horizontal="center" vertical="center"/>
    </xf>
    <xf numFmtId="0" fontId="22" fillId="0" borderId="20" xfId="0" applyFont="1" applyBorder="1" applyAlignment="1">
      <alignment horizontal="center" vertical="center"/>
    </xf>
    <xf numFmtId="0" fontId="16" fillId="13" borderId="15" xfId="0" applyFont="1" applyFill="1" applyBorder="1" applyAlignment="1">
      <alignment horizontal="center" vertical="top" readingOrder="1"/>
    </xf>
    <xf numFmtId="0" fontId="16" fillId="13" borderId="16" xfId="0" applyFont="1" applyFill="1" applyBorder="1" applyAlignment="1">
      <alignment horizontal="center" vertical="top" readingOrder="1"/>
    </xf>
    <xf numFmtId="0" fontId="16" fillId="13" borderId="17" xfId="0" applyFont="1" applyFill="1" applyBorder="1" applyAlignment="1">
      <alignment horizontal="center" vertical="top" readingOrder="1"/>
    </xf>
    <xf numFmtId="0" fontId="16" fillId="2" borderId="15" xfId="0" applyFont="1" applyFill="1" applyBorder="1" applyAlignment="1">
      <alignment horizontal="center" vertical="top" readingOrder="1"/>
    </xf>
    <xf numFmtId="0" fontId="16" fillId="2" borderId="16" xfId="0" applyFont="1" applyFill="1" applyBorder="1" applyAlignment="1">
      <alignment horizontal="center" vertical="top" readingOrder="1"/>
    </xf>
    <xf numFmtId="0" fontId="16" fillId="2" borderId="17" xfId="0" applyFont="1" applyFill="1" applyBorder="1" applyAlignment="1">
      <alignment horizontal="center" vertical="top" readingOrder="1"/>
    </xf>
    <xf numFmtId="0" fontId="16" fillId="5" borderId="15" xfId="0" applyFont="1" applyFill="1" applyBorder="1" applyAlignment="1">
      <alignment horizontal="center" vertical="top" readingOrder="1"/>
    </xf>
    <xf numFmtId="0" fontId="16" fillId="5" borderId="16" xfId="0" applyFont="1" applyFill="1" applyBorder="1" applyAlignment="1">
      <alignment horizontal="center" vertical="top" readingOrder="1"/>
    </xf>
    <xf numFmtId="0" fontId="16" fillId="5" borderId="17" xfId="0" applyFont="1" applyFill="1" applyBorder="1" applyAlignment="1">
      <alignment horizontal="center" vertical="top" readingOrder="1"/>
    </xf>
    <xf numFmtId="0" fontId="0" fillId="0" borderId="2" xfId="0" applyBorder="1" applyAlignment="1">
      <alignment horizontal="left" wrapText="1" indent="1"/>
    </xf>
    <xf numFmtId="0" fontId="0" fillId="0" borderId="4" xfId="0" applyBorder="1" applyAlignment="1">
      <alignment horizontal="left" wrapText="1" indent="1"/>
    </xf>
    <xf numFmtId="0" fontId="5" fillId="5" borderId="2" xfId="0" applyFont="1" applyFill="1" applyBorder="1" applyAlignment="1">
      <alignment horizontal="left" wrapText="1"/>
    </xf>
    <xf numFmtId="0" fontId="5" fillId="5" borderId="3" xfId="0" applyFont="1" applyFill="1" applyBorder="1" applyAlignment="1">
      <alignment horizontal="left" wrapText="1"/>
    </xf>
    <xf numFmtId="0" fontId="5" fillId="5" borderId="4" xfId="0" applyFont="1" applyFill="1" applyBorder="1" applyAlignment="1">
      <alignment horizontal="left" wrapText="1"/>
    </xf>
    <xf numFmtId="0" fontId="6" fillId="0" borderId="2" xfId="0" applyFont="1" applyBorder="1" applyAlignment="1">
      <alignment horizontal="left"/>
    </xf>
    <xf numFmtId="0" fontId="6" fillId="0" borderId="4" xfId="0" applyFont="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4" borderId="5" xfId="0" applyFont="1" applyFill="1" applyBorder="1" applyAlignment="1">
      <alignment horizontal="center"/>
    </xf>
    <xf numFmtId="0" fontId="2" fillId="4" borderId="6" xfId="0" applyFont="1" applyFill="1" applyBorder="1" applyAlignment="1">
      <alignment horizontal="center"/>
    </xf>
    <xf numFmtId="0" fontId="2" fillId="4" borderId="7" xfId="0" applyFont="1" applyFill="1" applyBorder="1" applyAlignment="1">
      <alignment horizontal="center"/>
    </xf>
    <xf numFmtId="0" fontId="2" fillId="5" borderId="2" xfId="0" applyFont="1" applyFill="1" applyBorder="1" applyAlignment="1">
      <alignment horizontal="left"/>
    </xf>
    <xf numFmtId="0" fontId="2" fillId="5" borderId="4" xfId="0" applyFont="1" applyFill="1" applyBorder="1" applyAlignment="1">
      <alignment horizontal="left"/>
    </xf>
    <xf numFmtId="0" fontId="15" fillId="5" borderId="2" xfId="0" applyFont="1" applyFill="1" applyBorder="1" applyAlignment="1">
      <alignment horizontal="left"/>
    </xf>
    <xf numFmtId="0" fontId="15" fillId="5" borderId="4" xfId="0" applyFont="1" applyFill="1" applyBorder="1" applyAlignment="1">
      <alignment horizontal="left"/>
    </xf>
    <xf numFmtId="0" fontId="7" fillId="0" borderId="0" xfId="3" applyFont="1" applyFill="1" applyBorder="1" applyAlignment="1">
      <alignment horizontal="center"/>
    </xf>
    <xf numFmtId="0" fontId="7" fillId="0" borderId="0" xfId="3" applyFont="1" applyFill="1" applyBorder="1"/>
    <xf numFmtId="0" fontId="0" fillId="0" borderId="0" xfId="0" applyFill="1" applyBorder="1"/>
    <xf numFmtId="0" fontId="16" fillId="0" borderId="0" xfId="0" applyFont="1" applyFill="1" applyBorder="1" applyAlignment="1">
      <alignment horizontal="center" vertical="top" readingOrder="1"/>
    </xf>
    <xf numFmtId="0" fontId="16" fillId="0" borderId="0" xfId="0" applyFont="1" applyFill="1" applyBorder="1" applyAlignment="1">
      <alignment horizontal="center" vertical="top" wrapText="1" readingOrder="1"/>
    </xf>
    <xf numFmtId="0" fontId="18" fillId="0" borderId="0" xfId="0" applyFont="1" applyFill="1" applyBorder="1"/>
    <xf numFmtId="43" fontId="17" fillId="0" borderId="0" xfId="1" applyNumberFormat="1" applyFont="1" applyFill="1" applyBorder="1" applyAlignment="1">
      <alignment wrapText="1" readingOrder="1"/>
    </xf>
    <xf numFmtId="43" fontId="16" fillId="0" borderId="0" xfId="1" applyNumberFormat="1" applyFont="1" applyFill="1" applyBorder="1" applyAlignment="1">
      <alignment wrapText="1" readingOrder="1"/>
    </xf>
    <xf numFmtId="0" fontId="22" fillId="0" borderId="0" xfId="0" applyFont="1" applyFill="1" applyBorder="1" applyAlignment="1">
      <alignment vertical="center"/>
    </xf>
    <xf numFmtId="164" fontId="0" fillId="0" borderId="0" xfId="0" applyNumberFormat="1"/>
    <xf numFmtId="0" fontId="2" fillId="0" borderId="0" xfId="0" applyFont="1" applyAlignment="1">
      <alignment wrapText="1"/>
    </xf>
    <xf numFmtId="0" fontId="0" fillId="14" borderId="0" xfId="0" applyFill="1"/>
    <xf numFmtId="43" fontId="0" fillId="14" borderId="0" xfId="0" applyNumberFormat="1" applyFill="1"/>
    <xf numFmtId="169" fontId="0" fillId="0" borderId="21" xfId="0" applyNumberFormat="1" applyBorder="1" applyAlignment="1">
      <alignment horizontal="center" vertical="center"/>
    </xf>
    <xf numFmtId="169" fontId="0" fillId="0" borderId="22" xfId="0" applyNumberFormat="1" applyBorder="1" applyAlignment="1">
      <alignment horizontal="center" vertical="center"/>
    </xf>
    <xf numFmtId="164" fontId="0" fillId="0" borderId="8" xfId="0" applyNumberFormat="1" applyBorder="1" applyAlignment="1">
      <alignment vertical="center"/>
    </xf>
    <xf numFmtId="169" fontId="0" fillId="0" borderId="0" xfId="0" applyNumberFormat="1" applyBorder="1" applyAlignment="1">
      <alignment horizontal="center" vertical="center"/>
    </xf>
    <xf numFmtId="164" fontId="0" fillId="0" borderId="0" xfId="0" applyNumberFormat="1" applyBorder="1" applyAlignment="1">
      <alignment vertical="center"/>
    </xf>
    <xf numFmtId="0" fontId="0" fillId="0" borderId="26" xfId="0" applyBorder="1"/>
    <xf numFmtId="169" fontId="0" fillId="0" borderId="27" xfId="0" applyNumberFormat="1" applyBorder="1"/>
    <xf numFmtId="164" fontId="0" fillId="0" borderId="28" xfId="0" applyNumberFormat="1" applyBorder="1"/>
    <xf numFmtId="0" fontId="0" fillId="0" borderId="23"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29" xfId="0" applyBorder="1" applyAlignment="1">
      <alignment horizontal="center" vertical="center" wrapText="1"/>
    </xf>
    <xf numFmtId="175" fontId="2" fillId="0" borderId="30" xfId="0" applyNumberFormat="1" applyFont="1" applyBorder="1"/>
  </cellXfs>
  <cellStyles count="4">
    <cellStyle name="Comma" xfId="1" builtinId="3"/>
    <cellStyle name="Currency" xfId="2" builtinId="4"/>
    <cellStyle name="Normal" xfId="0" builtinId="0"/>
    <cellStyle name="Normal 2" xfId="3" xr:uid="{7DB7375D-2C5F-4137-B2F5-C38E6A097E06}"/>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r>
              <a:rPr lang="en-GB" sz="1800" b="1"/>
              <a:t>Adjustment at reconciliation </a:t>
            </a:r>
          </a:p>
          <a:p>
            <a:pPr>
              <a:defRPr/>
            </a:pPr>
            <a:r>
              <a:rPr lang="en-GB" sz="1800" b="1"/>
              <a:t>due to Peak Export &lt; TEC (£m)</a:t>
            </a:r>
          </a:p>
        </c:rich>
      </c:tx>
      <c:layout>
        <c:manualLayout>
          <c:xMode val="edge"/>
          <c:yMode val="edge"/>
          <c:x val="0.29898460785622138"/>
          <c:y val="4.3631971687248951E-2"/>
        </c:manualLayout>
      </c:layout>
      <c:overlay val="0"/>
      <c:spPr>
        <a:noFill/>
        <a:ln>
          <a:noFill/>
        </a:ln>
        <a:effectLst/>
      </c:spPr>
      <c:txPr>
        <a:bodyPr rot="0" spcFirstLastPara="1" vertOverflow="ellipsis" vert="horz" wrap="square" anchor="t"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Chart!$R$32</c:f>
              <c:strCache>
                <c:ptCount val="1"/>
                <c:pt idx="0">
                  <c:v>Stations w. -ve tariff
(left-hand axis)</c:v>
                </c:pt>
              </c:strCache>
            </c:strRef>
          </c:tx>
          <c:spPr>
            <a:solidFill>
              <a:schemeClr val="accent1"/>
            </a:solidFill>
            <a:ln>
              <a:noFill/>
            </a:ln>
            <a:effectLst/>
          </c:spPr>
          <c:invertIfNegative val="0"/>
          <c:cat>
            <c:strRef>
              <c:f>Chart!$S$31:$V$31</c:f>
              <c:strCache>
                <c:ptCount val="4"/>
                <c:pt idx="0">
                  <c:v>2017/18</c:v>
                </c:pt>
                <c:pt idx="1">
                  <c:v>2018/19</c:v>
                </c:pt>
                <c:pt idx="2">
                  <c:v>2019/20</c:v>
                </c:pt>
                <c:pt idx="3">
                  <c:v>2020/21</c:v>
                </c:pt>
              </c:strCache>
            </c:strRef>
          </c:cat>
          <c:val>
            <c:numRef>
              <c:f>Chart!$S$32:$V$32</c:f>
              <c:numCache>
                <c:formatCode>General</c:formatCode>
                <c:ptCount val="4"/>
                <c:pt idx="0">
                  <c:v>49</c:v>
                </c:pt>
                <c:pt idx="1">
                  <c:v>59</c:v>
                </c:pt>
                <c:pt idx="2">
                  <c:v>65</c:v>
                </c:pt>
                <c:pt idx="3">
                  <c:v>96</c:v>
                </c:pt>
              </c:numCache>
            </c:numRef>
          </c:val>
          <c:extLst>
            <c:ext xmlns:c16="http://schemas.microsoft.com/office/drawing/2014/chart" uri="{C3380CC4-5D6E-409C-BE32-E72D297353CC}">
              <c16:uniqueId val="{00000000-F98C-4053-8E12-28AE3325050C}"/>
            </c:ext>
          </c:extLst>
        </c:ser>
        <c:dLbls>
          <c:showLegendKey val="0"/>
          <c:showVal val="0"/>
          <c:showCatName val="0"/>
          <c:showSerName val="0"/>
          <c:showPercent val="0"/>
          <c:showBubbleSize val="0"/>
        </c:dLbls>
        <c:gapWidth val="150"/>
        <c:axId val="463803520"/>
        <c:axId val="463807456"/>
      </c:barChart>
      <c:lineChart>
        <c:grouping val="standard"/>
        <c:varyColors val="0"/>
        <c:ser>
          <c:idx val="1"/>
          <c:order val="1"/>
          <c:tx>
            <c:strRef>
              <c:f>Chart!$R$33</c:f>
              <c:strCache>
                <c:ptCount val="1"/>
                <c:pt idx="0">
                  <c:v>Low</c:v>
                </c:pt>
              </c:strCache>
            </c:strRef>
          </c:tx>
          <c:spPr>
            <a:ln w="28575" cap="rnd">
              <a:solidFill>
                <a:schemeClr val="accent2"/>
              </a:solidFill>
              <a:round/>
            </a:ln>
            <a:effectLst/>
          </c:spPr>
          <c:marker>
            <c:symbol val="none"/>
          </c:marker>
          <c:cat>
            <c:strRef>
              <c:f>Chart!$S$31:$V$31</c:f>
              <c:strCache>
                <c:ptCount val="4"/>
                <c:pt idx="0">
                  <c:v>2017/18</c:v>
                </c:pt>
                <c:pt idx="1">
                  <c:v>2018/19</c:v>
                </c:pt>
                <c:pt idx="2">
                  <c:v>2019/20</c:v>
                </c:pt>
                <c:pt idx="3">
                  <c:v>2020/21</c:v>
                </c:pt>
              </c:strCache>
            </c:strRef>
          </c:cat>
          <c:val>
            <c:numRef>
              <c:f>Chart!$S$33:$V$33</c:f>
              <c:numCache>
                <c:formatCode>General</c:formatCode>
                <c:ptCount val="4"/>
                <c:pt idx="0">
                  <c:v>4.5999999999999996</c:v>
                </c:pt>
                <c:pt idx="1">
                  <c:v>11.6</c:v>
                </c:pt>
                <c:pt idx="2">
                  <c:v>17</c:v>
                </c:pt>
                <c:pt idx="3">
                  <c:v>20</c:v>
                </c:pt>
              </c:numCache>
            </c:numRef>
          </c:val>
          <c:smooth val="0"/>
          <c:extLst>
            <c:ext xmlns:c16="http://schemas.microsoft.com/office/drawing/2014/chart" uri="{C3380CC4-5D6E-409C-BE32-E72D297353CC}">
              <c16:uniqueId val="{00000001-F98C-4053-8E12-28AE3325050C}"/>
            </c:ext>
          </c:extLst>
        </c:ser>
        <c:ser>
          <c:idx val="2"/>
          <c:order val="2"/>
          <c:tx>
            <c:strRef>
              <c:f>Chart!$R$34</c:f>
              <c:strCache>
                <c:ptCount val="1"/>
                <c:pt idx="0">
                  <c:v>Mid</c:v>
                </c:pt>
              </c:strCache>
            </c:strRef>
          </c:tx>
          <c:spPr>
            <a:ln w="28575" cap="rnd">
              <a:solidFill>
                <a:schemeClr val="accent3"/>
              </a:solidFill>
              <a:round/>
            </a:ln>
            <a:effectLst/>
          </c:spPr>
          <c:marker>
            <c:symbol val="none"/>
          </c:marker>
          <c:cat>
            <c:strRef>
              <c:f>Chart!$S$31:$V$31</c:f>
              <c:strCache>
                <c:ptCount val="4"/>
                <c:pt idx="0">
                  <c:v>2017/18</c:v>
                </c:pt>
                <c:pt idx="1">
                  <c:v>2018/19</c:v>
                </c:pt>
                <c:pt idx="2">
                  <c:v>2019/20</c:v>
                </c:pt>
                <c:pt idx="3">
                  <c:v>2020/21</c:v>
                </c:pt>
              </c:strCache>
            </c:strRef>
          </c:cat>
          <c:val>
            <c:numRef>
              <c:f>Chart!$S$34:$V$34</c:f>
              <c:numCache>
                <c:formatCode>General</c:formatCode>
                <c:ptCount val="4"/>
                <c:pt idx="0">
                  <c:v>4.5999999999999996</c:v>
                </c:pt>
                <c:pt idx="1">
                  <c:v>11.6</c:v>
                </c:pt>
                <c:pt idx="2">
                  <c:v>17</c:v>
                </c:pt>
                <c:pt idx="3">
                  <c:v>25</c:v>
                </c:pt>
              </c:numCache>
            </c:numRef>
          </c:val>
          <c:smooth val="0"/>
          <c:extLst>
            <c:ext xmlns:c16="http://schemas.microsoft.com/office/drawing/2014/chart" uri="{C3380CC4-5D6E-409C-BE32-E72D297353CC}">
              <c16:uniqueId val="{00000002-F98C-4053-8E12-28AE3325050C}"/>
            </c:ext>
          </c:extLst>
        </c:ser>
        <c:ser>
          <c:idx val="3"/>
          <c:order val="3"/>
          <c:tx>
            <c:strRef>
              <c:f>Chart!$R$35</c:f>
              <c:strCache>
                <c:ptCount val="1"/>
                <c:pt idx="0">
                  <c:v>High</c:v>
                </c:pt>
              </c:strCache>
            </c:strRef>
          </c:tx>
          <c:spPr>
            <a:ln w="28575" cap="rnd">
              <a:solidFill>
                <a:schemeClr val="accent4"/>
              </a:solidFill>
              <a:round/>
            </a:ln>
            <a:effectLst/>
          </c:spPr>
          <c:marker>
            <c:symbol val="none"/>
          </c:marker>
          <c:cat>
            <c:strRef>
              <c:f>Chart!$S$31:$V$31</c:f>
              <c:strCache>
                <c:ptCount val="4"/>
                <c:pt idx="0">
                  <c:v>2017/18</c:v>
                </c:pt>
                <c:pt idx="1">
                  <c:v>2018/19</c:v>
                </c:pt>
                <c:pt idx="2">
                  <c:v>2019/20</c:v>
                </c:pt>
                <c:pt idx="3">
                  <c:v>2020/21</c:v>
                </c:pt>
              </c:strCache>
            </c:strRef>
          </c:cat>
          <c:val>
            <c:numRef>
              <c:f>Chart!$S$35:$V$35</c:f>
              <c:numCache>
                <c:formatCode>General</c:formatCode>
                <c:ptCount val="4"/>
                <c:pt idx="0">
                  <c:v>4.5999999999999996</c:v>
                </c:pt>
                <c:pt idx="1">
                  <c:v>11.6</c:v>
                </c:pt>
                <c:pt idx="2">
                  <c:v>17</c:v>
                </c:pt>
                <c:pt idx="3">
                  <c:v>30</c:v>
                </c:pt>
              </c:numCache>
            </c:numRef>
          </c:val>
          <c:smooth val="0"/>
          <c:extLst>
            <c:ext xmlns:c16="http://schemas.microsoft.com/office/drawing/2014/chart" uri="{C3380CC4-5D6E-409C-BE32-E72D297353CC}">
              <c16:uniqueId val="{00000003-F98C-4053-8E12-28AE3325050C}"/>
            </c:ext>
          </c:extLst>
        </c:ser>
        <c:ser>
          <c:idx val="4"/>
          <c:order val="4"/>
          <c:tx>
            <c:strRef>
              <c:f>Chart!$R$36</c:f>
              <c:strCache>
                <c:ptCount val="1"/>
                <c:pt idx="0">
                  <c:v>Out-turn</c:v>
                </c:pt>
              </c:strCache>
            </c:strRef>
          </c:tx>
          <c:spPr>
            <a:ln w="28575" cap="rnd">
              <a:solidFill>
                <a:srgbClr val="FF0000"/>
              </a:solidFill>
              <a:round/>
            </a:ln>
            <a:effectLst/>
          </c:spPr>
          <c:marker>
            <c:symbol val="none"/>
          </c:marker>
          <c:cat>
            <c:strRef>
              <c:f>Chart!$S$31:$V$31</c:f>
              <c:strCache>
                <c:ptCount val="4"/>
                <c:pt idx="0">
                  <c:v>2017/18</c:v>
                </c:pt>
                <c:pt idx="1">
                  <c:v>2018/19</c:v>
                </c:pt>
                <c:pt idx="2">
                  <c:v>2019/20</c:v>
                </c:pt>
                <c:pt idx="3">
                  <c:v>2020/21</c:v>
                </c:pt>
              </c:strCache>
            </c:strRef>
          </c:cat>
          <c:val>
            <c:numRef>
              <c:f>Chart!$S$36:$V$36</c:f>
              <c:numCache>
                <c:formatCode>General</c:formatCode>
                <c:ptCount val="4"/>
                <c:pt idx="0">
                  <c:v>4.5999999999999996</c:v>
                </c:pt>
                <c:pt idx="1">
                  <c:v>11.6</c:v>
                </c:pt>
                <c:pt idx="2">
                  <c:v>17</c:v>
                </c:pt>
                <c:pt idx="3">
                  <c:v>34.770000000000003</c:v>
                </c:pt>
              </c:numCache>
            </c:numRef>
          </c:val>
          <c:smooth val="0"/>
          <c:extLst>
            <c:ext xmlns:c16="http://schemas.microsoft.com/office/drawing/2014/chart" uri="{C3380CC4-5D6E-409C-BE32-E72D297353CC}">
              <c16:uniqueId val="{00000004-F98C-4053-8E12-28AE3325050C}"/>
            </c:ext>
          </c:extLst>
        </c:ser>
        <c:dLbls>
          <c:showLegendKey val="0"/>
          <c:showVal val="0"/>
          <c:showCatName val="0"/>
          <c:showSerName val="0"/>
          <c:showPercent val="0"/>
          <c:showBubbleSize val="0"/>
        </c:dLbls>
        <c:marker val="1"/>
        <c:smooth val="0"/>
        <c:axId val="476840240"/>
        <c:axId val="476840568"/>
      </c:lineChart>
      <c:catAx>
        <c:axId val="463803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807456"/>
        <c:crosses val="autoZero"/>
        <c:auto val="1"/>
        <c:lblAlgn val="ctr"/>
        <c:lblOffset val="100"/>
        <c:noMultiLvlLbl val="0"/>
      </c:catAx>
      <c:valAx>
        <c:axId val="46380745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63803520"/>
        <c:crosses val="autoZero"/>
        <c:crossBetween val="between"/>
      </c:valAx>
      <c:valAx>
        <c:axId val="476840568"/>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76840240"/>
        <c:crosses val="max"/>
        <c:crossBetween val="between"/>
      </c:valAx>
      <c:catAx>
        <c:axId val="476840240"/>
        <c:scaling>
          <c:orientation val="minMax"/>
        </c:scaling>
        <c:delete val="1"/>
        <c:axPos val="b"/>
        <c:numFmt formatCode="General" sourceLinked="1"/>
        <c:majorTickMark val="out"/>
        <c:minorTickMark val="none"/>
        <c:tickLblPos val="nextTo"/>
        <c:crossAx val="47684056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1409700</xdr:colOff>
      <xdr:row>2</xdr:row>
      <xdr:rowOff>9525</xdr:rowOff>
    </xdr:from>
    <xdr:to>
      <xdr:col>1</xdr:col>
      <xdr:colOff>1685925</xdr:colOff>
      <xdr:row>5</xdr:row>
      <xdr:rowOff>190500</xdr:rowOff>
    </xdr:to>
    <xdr:cxnSp macro="">
      <xdr:nvCxnSpPr>
        <xdr:cNvPr id="4" name="Straight Arrow Connector 3">
          <a:extLst>
            <a:ext uri="{FF2B5EF4-FFF2-40B4-BE49-F238E27FC236}">
              <a16:creationId xmlns:a16="http://schemas.microsoft.com/office/drawing/2014/main" id="{A5581710-F276-4DC6-88A0-8758DA7329B3}"/>
            </a:ext>
          </a:extLst>
        </xdr:cNvPr>
        <xdr:cNvCxnSpPr/>
      </xdr:nvCxnSpPr>
      <xdr:spPr>
        <a:xfrm>
          <a:off x="2019300" y="390525"/>
          <a:ext cx="276225" cy="77152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1238250</xdr:colOff>
      <xdr:row>2</xdr:row>
      <xdr:rowOff>9525</xdr:rowOff>
    </xdr:from>
    <xdr:to>
      <xdr:col>2</xdr:col>
      <xdr:colOff>1343025</xdr:colOff>
      <xdr:row>12</xdr:row>
      <xdr:rowOff>190500</xdr:rowOff>
    </xdr:to>
    <xdr:cxnSp macro="">
      <xdr:nvCxnSpPr>
        <xdr:cNvPr id="6" name="Straight Arrow Connector 5">
          <a:extLst>
            <a:ext uri="{FF2B5EF4-FFF2-40B4-BE49-F238E27FC236}">
              <a16:creationId xmlns:a16="http://schemas.microsoft.com/office/drawing/2014/main" id="{75EE9C69-9953-4BEB-814F-7DE95D06889A}"/>
            </a:ext>
          </a:extLst>
        </xdr:cNvPr>
        <xdr:cNvCxnSpPr/>
      </xdr:nvCxnSpPr>
      <xdr:spPr>
        <a:xfrm flipH="1">
          <a:off x="3562350" y="390525"/>
          <a:ext cx="104775" cy="21812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xdr:row>
      <xdr:rowOff>0</xdr:rowOff>
    </xdr:from>
    <xdr:to>
      <xdr:col>13</xdr:col>
      <xdr:colOff>533400</xdr:colOff>
      <xdr:row>26</xdr:row>
      <xdr:rowOff>38100</xdr:rowOff>
    </xdr:to>
    <xdr:graphicFrame macro="">
      <xdr:nvGraphicFramePr>
        <xdr:cNvPr id="2" name="Chart 1">
          <a:extLst>
            <a:ext uri="{FF2B5EF4-FFF2-40B4-BE49-F238E27FC236}">
              <a16:creationId xmlns:a16="http://schemas.microsoft.com/office/drawing/2014/main" id="{09F46C6F-748F-4DC9-A85F-0F39A9FC49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0.07768</cdr:x>
      <cdr:y>0.04637</cdr:y>
    </cdr:from>
    <cdr:to>
      <cdr:x>0.47175</cdr:x>
      <cdr:y>0.30559</cdr:y>
    </cdr:to>
    <cdr:sp macro="" textlink="">
      <cdr:nvSpPr>
        <cdr:cNvPr id="2" name="TextBox 1">
          <a:extLst xmlns:a="http://schemas.openxmlformats.org/drawingml/2006/main">
            <a:ext uri="{FF2B5EF4-FFF2-40B4-BE49-F238E27FC236}">
              <a16:creationId xmlns:a16="http://schemas.microsoft.com/office/drawing/2014/main" id="{6662DA8D-96F1-4DAC-A963-336723E2E04E}"/>
            </a:ext>
          </a:extLst>
        </cdr:cNvPr>
        <cdr:cNvSpPr txBox="1"/>
      </cdr:nvSpPr>
      <cdr:spPr>
        <a:xfrm xmlns:a="http://schemas.openxmlformats.org/drawingml/2006/main">
          <a:off x="419100" y="148590"/>
          <a:ext cx="2125980" cy="83058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GB" sz="1100"/>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79CD1-7E3E-4AD1-8426-65DE2CE8C713}">
  <dimension ref="A1:P16"/>
  <sheetViews>
    <sheetView tabSelected="1" workbookViewId="0">
      <selection activeCell="C17" sqref="C17"/>
    </sheetView>
  </sheetViews>
  <sheetFormatPr defaultRowHeight="15" x14ac:dyDescent="0.25"/>
  <cols>
    <col min="1" max="1" width="11.5703125" customWidth="1"/>
    <col min="2" max="2" width="25.7109375" customWidth="1"/>
    <col min="3" max="4" width="23.5703125" customWidth="1"/>
    <col min="5" max="5" width="8.85546875" customWidth="1"/>
    <col min="6" max="6" width="28.7109375" customWidth="1"/>
    <col min="7" max="8" width="14" customWidth="1"/>
    <col min="11" max="11" width="19.140625" style="137" bestFit="1" customWidth="1"/>
    <col min="12" max="12" width="14" style="137" customWidth="1"/>
    <col min="13" max="13" width="17.28515625" style="137" bestFit="1" customWidth="1"/>
    <col min="14" max="14" width="14.5703125" style="137" customWidth="1"/>
    <col min="15" max="15" width="14" style="137" customWidth="1"/>
    <col min="16" max="16" width="9.140625" style="137"/>
  </cols>
  <sheetData>
    <row r="1" spans="1:15" ht="60" x14ac:dyDescent="0.25">
      <c r="A1" s="156" t="str">
        <f>'Out-turn 2020_21'!L16</f>
        <v>£/€ Exchange Rate (daily average)</v>
      </c>
      <c r="B1" s="157" t="str">
        <f>'Out-turn 2020_21'!J16</f>
        <v>Eligible Revenue, £m</v>
      </c>
      <c r="C1" s="158" t="s">
        <v>669</v>
      </c>
      <c r="D1" s="159" t="str">
        <f>'Out-turn 2020_21'!M16</f>
        <v>Out-turn €/MWh</v>
      </c>
    </row>
    <row r="2" spans="1:15" x14ac:dyDescent="0.25">
      <c r="A2" s="153">
        <f>'Out-turn 2020_21'!L17</f>
        <v>1.1208762845849805</v>
      </c>
      <c r="B2" s="154">
        <f>SUM(C7:C8)</f>
        <v>3.3305977468775723</v>
      </c>
      <c r="C2" s="155">
        <f>C15</f>
        <v>206274630.03600004</v>
      </c>
      <c r="D2" s="160">
        <f>B2*A2*1000000/C2</f>
        <v>1.8098144339493936E-2</v>
      </c>
    </row>
    <row r="4" spans="1:15" ht="15.75" customHeight="1" x14ac:dyDescent="0.25">
      <c r="E4" s="146"/>
      <c r="K4" s="143"/>
      <c r="L4" s="139"/>
      <c r="M4" s="139"/>
      <c r="N4" s="139"/>
      <c r="O4" s="139"/>
    </row>
    <row r="5" spans="1:15" ht="15.75" customHeight="1" x14ac:dyDescent="0.25">
      <c r="E5" s="146"/>
      <c r="K5" s="143"/>
      <c r="L5" s="139"/>
      <c r="M5" s="139"/>
      <c r="N5" s="139"/>
      <c r="O5" s="139"/>
    </row>
    <row r="6" spans="1:15" ht="16.5" thickBot="1" x14ac:dyDescent="0.3">
      <c r="C6" s="1" t="s">
        <v>661</v>
      </c>
      <c r="D6" s="1"/>
      <c r="E6" s="146"/>
      <c r="G6" s="1" t="s">
        <v>662</v>
      </c>
      <c r="K6" s="140"/>
      <c r="L6" s="141"/>
      <c r="M6" s="141"/>
      <c r="N6" s="141"/>
      <c r="O6" s="142"/>
    </row>
    <row r="7" spans="1:15" ht="15.75" x14ac:dyDescent="0.25">
      <c r="B7" s="145" t="s">
        <v>657</v>
      </c>
      <c r="C7" s="148">
        <f>'Out-turn 2020_21'!D25</f>
        <v>294.89015747818814</v>
      </c>
      <c r="D7" s="151"/>
      <c r="E7" s="147"/>
      <c r="F7" s="145" t="s">
        <v>659</v>
      </c>
      <c r="G7" s="74">
        <f>'Out-turn 2020_21'!E25</f>
        <v>5.7723993428233884</v>
      </c>
      <c r="K7" s="140"/>
      <c r="L7" s="141"/>
      <c r="M7" s="141"/>
      <c r="N7" s="141"/>
      <c r="O7" s="142"/>
    </row>
    <row r="8" spans="1:15" ht="16.5" thickBot="1" x14ac:dyDescent="0.3">
      <c r="B8" s="145" t="s">
        <v>658</v>
      </c>
      <c r="C8" s="149">
        <f>'Out-turn 2020_21'!D26</f>
        <v>-291.55955973131057</v>
      </c>
      <c r="D8" s="151"/>
      <c r="E8" s="147"/>
      <c r="F8" s="145" t="s">
        <v>660</v>
      </c>
      <c r="G8" s="74">
        <f>'Out-turn 2020_21'!E26</f>
        <v>-14.018994067893331</v>
      </c>
      <c r="K8" s="140"/>
      <c r="L8" s="142"/>
      <c r="M8" s="142"/>
      <c r="N8" s="142"/>
      <c r="O8" s="142"/>
    </row>
    <row r="9" spans="1:15" x14ac:dyDescent="0.25">
      <c r="B9" s="145"/>
      <c r="E9" s="146"/>
      <c r="F9" s="145" t="s">
        <v>11</v>
      </c>
      <c r="G9" s="74">
        <f>'Out-turn 2020_21'!K23</f>
        <v>33.137393768195011</v>
      </c>
    </row>
    <row r="10" spans="1:15" ht="15.75" customHeight="1" x14ac:dyDescent="0.25">
      <c r="B10" s="145"/>
      <c r="E10" s="146"/>
      <c r="F10" s="145" t="s">
        <v>12</v>
      </c>
      <c r="G10" s="74">
        <f>'Out-turn 2020_21'!L23</f>
        <v>293.45179100080003</v>
      </c>
      <c r="K10" s="143"/>
      <c r="L10" s="138"/>
      <c r="M10" s="138"/>
      <c r="N10" s="138"/>
      <c r="O10" s="138"/>
    </row>
    <row r="11" spans="1:15" ht="15.75" customHeight="1" x14ac:dyDescent="0.25">
      <c r="B11" s="145"/>
      <c r="E11" s="146"/>
      <c r="F11" s="145" t="s">
        <v>667</v>
      </c>
      <c r="G11" s="74">
        <f>'Out-turn 2020_21'!D10</f>
        <v>4.3905949500000014</v>
      </c>
      <c r="K11" s="143"/>
      <c r="L11" s="139"/>
      <c r="M11" s="139"/>
      <c r="N11" s="139"/>
      <c r="O11" s="139"/>
    </row>
    <row r="12" spans="1:15" ht="15.75" customHeight="1" x14ac:dyDescent="0.25">
      <c r="B12" s="145"/>
      <c r="E12" s="146"/>
      <c r="F12" s="145" t="s">
        <v>668</v>
      </c>
      <c r="G12" s="74">
        <f>'Out-turn 2020_21'!E10</f>
        <v>1.5643363599999998</v>
      </c>
      <c r="K12" s="143"/>
      <c r="L12" s="139"/>
      <c r="M12" s="139"/>
      <c r="N12" s="139"/>
      <c r="O12" s="139"/>
    </row>
    <row r="13" spans="1:15" ht="15.75" customHeight="1" x14ac:dyDescent="0.25">
      <c r="B13" s="145"/>
      <c r="E13" s="146"/>
      <c r="F13" s="145"/>
      <c r="K13" s="143"/>
      <c r="L13" s="139"/>
      <c r="M13" s="139"/>
      <c r="N13" s="139"/>
      <c r="O13" s="139"/>
    </row>
    <row r="14" spans="1:15" ht="16.5" thickBot="1" x14ac:dyDescent="0.3">
      <c r="B14" s="145"/>
      <c r="C14" s="1" t="s">
        <v>663</v>
      </c>
      <c r="D14" s="1"/>
      <c r="E14" s="146"/>
      <c r="F14" s="145"/>
      <c r="G14" s="1" t="s">
        <v>664</v>
      </c>
      <c r="K14" s="140"/>
      <c r="L14" s="141"/>
      <c r="M14" s="141"/>
      <c r="N14" s="141"/>
      <c r="O14" s="142"/>
    </row>
    <row r="15" spans="1:15" ht="16.5" thickBot="1" x14ac:dyDescent="0.3">
      <c r="B15" s="145" t="s">
        <v>665</v>
      </c>
      <c r="C15" s="150">
        <f>Exports!B6</f>
        <v>206274630.03600004</v>
      </c>
      <c r="D15" s="152"/>
      <c r="E15" s="147"/>
      <c r="F15" s="145" t="s">
        <v>666</v>
      </c>
      <c r="G15" s="144">
        <f>Exports!B5</f>
        <v>8476193.0019999892</v>
      </c>
      <c r="K15" s="140"/>
      <c r="L15" s="141"/>
      <c r="M15" s="141"/>
      <c r="N15" s="141"/>
      <c r="O15" s="142"/>
    </row>
    <row r="16" spans="1:15" ht="15.75" x14ac:dyDescent="0.25">
      <c r="E16" s="146"/>
      <c r="K16" s="140"/>
      <c r="L16" s="142"/>
      <c r="M16" s="142"/>
      <c r="N16" s="142"/>
      <c r="O16" s="142"/>
    </row>
  </sheetData>
  <mergeCells count="1">
    <mergeCell ref="L10:O10"/>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FA89B1-AD30-4615-B3A4-A6B7C026A883}">
  <dimension ref="A1:C9"/>
  <sheetViews>
    <sheetView workbookViewId="0">
      <selection activeCell="B3" sqref="B3"/>
    </sheetView>
  </sheetViews>
  <sheetFormatPr defaultRowHeight="15" x14ac:dyDescent="0.25"/>
  <cols>
    <col min="1" max="1" width="20.5703125" bestFit="1" customWidth="1"/>
    <col min="2" max="2" width="15.140625" bestFit="1" customWidth="1"/>
    <col min="3" max="3" width="5.7109375" bestFit="1" customWidth="1"/>
  </cols>
  <sheetData>
    <row r="1" spans="1:3" x14ac:dyDescent="0.25">
      <c r="A1" s="25" t="s">
        <v>4</v>
      </c>
    </row>
    <row r="3" spans="1:3" x14ac:dyDescent="0.25">
      <c r="A3" s="1" t="s">
        <v>0</v>
      </c>
      <c r="B3" s="2">
        <v>214750823.03800005</v>
      </c>
      <c r="C3" s="1" t="s">
        <v>1</v>
      </c>
    </row>
    <row r="4" spans="1:3" x14ac:dyDescent="0.25">
      <c r="B4" s="3" t="b">
        <v>1</v>
      </c>
    </row>
    <row r="5" spans="1:3" x14ac:dyDescent="0.25">
      <c r="A5" s="4" t="s">
        <v>2</v>
      </c>
      <c r="B5" s="5">
        <v>8476193.0019999892</v>
      </c>
      <c r="C5" s="6" t="s">
        <v>1</v>
      </c>
    </row>
    <row r="6" spans="1:3" x14ac:dyDescent="0.25">
      <c r="A6" s="4" t="s">
        <v>3</v>
      </c>
      <c r="B6" s="5">
        <v>206274630.03600004</v>
      </c>
      <c r="C6" s="6" t="s">
        <v>1</v>
      </c>
    </row>
    <row r="9" spans="1:3" x14ac:dyDescent="0.25">
      <c r="A9" t="s">
        <v>37</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BE19C0-5B57-4D0D-8398-7ED164E86AB3}">
  <dimension ref="A1:N37"/>
  <sheetViews>
    <sheetView topLeftCell="A7" workbookViewId="0">
      <selection activeCell="L16" sqref="L16"/>
    </sheetView>
  </sheetViews>
  <sheetFormatPr defaultRowHeight="15" x14ac:dyDescent="0.25"/>
  <cols>
    <col min="3" max="3" width="21" customWidth="1"/>
    <col min="4" max="6" width="14" customWidth="1"/>
    <col min="9" max="9" width="19.140625" bestFit="1" customWidth="1"/>
    <col min="10" max="10" width="14" customWidth="1"/>
    <col min="11" max="11" width="17.28515625" bestFit="1" customWidth="1"/>
    <col min="12" max="12" width="14.5703125" customWidth="1"/>
    <col min="13" max="13" width="14" customWidth="1"/>
  </cols>
  <sheetData>
    <row r="1" spans="1:14" ht="15.75" x14ac:dyDescent="0.25">
      <c r="A1" s="76" t="s">
        <v>611</v>
      </c>
      <c r="B1" s="77"/>
      <c r="C1" s="77"/>
      <c r="D1" s="77"/>
      <c r="E1" s="77"/>
      <c r="F1" s="77"/>
      <c r="G1" s="77"/>
      <c r="H1" s="77"/>
      <c r="I1" s="77"/>
      <c r="N1" s="77"/>
    </row>
    <row r="2" spans="1:14" ht="15.75" x14ac:dyDescent="0.25">
      <c r="A2" s="77"/>
      <c r="B2" s="77"/>
      <c r="C2" s="77"/>
      <c r="D2" s="77"/>
      <c r="E2" s="77"/>
      <c r="F2" s="77"/>
      <c r="G2" s="77"/>
      <c r="H2" s="77"/>
      <c r="I2" s="77"/>
      <c r="N2" s="77"/>
    </row>
    <row r="3" spans="1:14" ht="15.75" x14ac:dyDescent="0.25">
      <c r="A3" s="77"/>
      <c r="B3" s="77"/>
      <c r="C3" s="77"/>
      <c r="D3" s="77" t="b">
        <f>ABS(D6-(D25+D26))&lt;0.00000001</f>
        <v>1</v>
      </c>
      <c r="E3" s="77" t="b">
        <f>ABS(E6-(E25+E26))&lt;0.00000001</f>
        <v>1</v>
      </c>
      <c r="F3" s="77" t="b">
        <f>ABS(F6-(F25+F26))&lt;0.00000001</f>
        <v>1</v>
      </c>
      <c r="G3" s="77" t="b">
        <f>F11=('Gen Rec'!G8/1000000)</f>
        <v>1</v>
      </c>
      <c r="H3" s="77"/>
      <c r="I3" s="77"/>
      <c r="N3" s="77"/>
    </row>
    <row r="4" spans="1:14" ht="15.75" x14ac:dyDescent="0.25">
      <c r="A4" s="76" t="s">
        <v>614</v>
      </c>
      <c r="B4" s="77"/>
      <c r="C4" s="77"/>
      <c r="D4" s="77"/>
      <c r="E4" s="77"/>
      <c r="F4" s="77"/>
      <c r="G4" s="77"/>
      <c r="H4" s="77"/>
      <c r="I4" s="77"/>
      <c r="J4" s="109" t="s">
        <v>649</v>
      </c>
      <c r="K4" s="110"/>
      <c r="L4" s="110"/>
      <c r="M4" s="111"/>
      <c r="N4" s="77"/>
    </row>
    <row r="5" spans="1:14" ht="31.5" x14ac:dyDescent="0.25">
      <c r="A5" s="77"/>
      <c r="B5" s="77"/>
      <c r="C5" s="77"/>
      <c r="D5" s="88" t="s">
        <v>635</v>
      </c>
      <c r="E5" s="88" t="s">
        <v>637</v>
      </c>
      <c r="F5" s="80" t="s">
        <v>604</v>
      </c>
      <c r="G5" s="77"/>
      <c r="H5" s="77"/>
      <c r="I5" s="77"/>
      <c r="J5" s="91" t="s">
        <v>638</v>
      </c>
      <c r="K5" s="91" t="s">
        <v>647</v>
      </c>
      <c r="L5" s="91" t="s">
        <v>646</v>
      </c>
      <c r="M5" s="91" t="s">
        <v>604</v>
      </c>
      <c r="N5" s="77"/>
    </row>
    <row r="6" spans="1:14" ht="15.75" x14ac:dyDescent="0.25">
      <c r="A6" s="77"/>
      <c r="B6" s="77"/>
      <c r="C6" s="78" t="s">
        <v>638</v>
      </c>
      <c r="D6" s="81">
        <f>'Gen Rec'!C6/1000000</f>
        <v>3.3305977468778156</v>
      </c>
      <c r="E6" s="81">
        <f>'Gen Rec'!C5/1000000</f>
        <v>-8.2465947250699418</v>
      </c>
      <c r="F6" s="81">
        <f>D6+E6</f>
        <v>-4.9159969781921262</v>
      </c>
      <c r="G6" s="77"/>
      <c r="H6" s="77"/>
      <c r="I6" s="92" t="s">
        <v>3</v>
      </c>
      <c r="J6" s="104">
        <f>D6</f>
        <v>3.3305977468778156</v>
      </c>
      <c r="K6" s="105">
        <f>D7</f>
        <v>33.753875053766677</v>
      </c>
      <c r="L6" s="105">
        <f>D8</f>
        <v>296.71864959305469</v>
      </c>
      <c r="M6" s="95">
        <f>SUM(J6:L6)</f>
        <v>333.8031223936992</v>
      </c>
      <c r="N6" s="77"/>
    </row>
    <row r="7" spans="1:14" ht="15.75" x14ac:dyDescent="0.25">
      <c r="A7" s="77"/>
      <c r="B7" s="77"/>
      <c r="C7" s="78" t="s">
        <v>639</v>
      </c>
      <c r="D7" s="81">
        <f>'Gen Rec'!D6/1000000</f>
        <v>33.753875053766677</v>
      </c>
      <c r="E7" s="81">
        <f>'Gen Rec'!D5/1000000</f>
        <v>0</v>
      </c>
      <c r="F7" s="81">
        <f>D7+E7</f>
        <v>33.753875053766677</v>
      </c>
      <c r="G7" s="77"/>
      <c r="H7" s="77"/>
      <c r="I7" s="92" t="s">
        <v>637</v>
      </c>
      <c r="J7" s="104">
        <f>E6</f>
        <v>-8.2465947250699418</v>
      </c>
      <c r="K7" s="105">
        <f>E7</f>
        <v>0</v>
      </c>
      <c r="L7" s="105">
        <f>E8</f>
        <v>0</v>
      </c>
      <c r="M7" s="95">
        <f>SUM(J7:L7)</f>
        <v>-8.2465947250699418</v>
      </c>
      <c r="N7" s="77"/>
    </row>
    <row r="8" spans="1:14" ht="15.6" customHeight="1" x14ac:dyDescent="0.25">
      <c r="A8" s="77"/>
      <c r="B8" s="77"/>
      <c r="C8" s="78" t="s">
        <v>640</v>
      </c>
      <c r="D8" s="81">
        <f>'Gen Rec'!E6/1000000</f>
        <v>296.71864959305469</v>
      </c>
      <c r="E8" s="81">
        <f>'Gen Rec'!E5/1000000</f>
        <v>0</v>
      </c>
      <c r="F8" s="81">
        <f>D8+E8</f>
        <v>296.71864959305469</v>
      </c>
      <c r="G8" s="77"/>
      <c r="H8" s="77"/>
      <c r="I8" s="92" t="s">
        <v>648</v>
      </c>
      <c r="J8" s="106">
        <f>SUM(J6:J7)</f>
        <v>-4.9159969781921262</v>
      </c>
      <c r="K8" s="95">
        <f t="shared" ref="K8:M8" si="0">SUM(K6:K7)</f>
        <v>33.753875053766677</v>
      </c>
      <c r="L8" s="95">
        <f t="shared" si="0"/>
        <v>296.71864959305469</v>
      </c>
      <c r="M8" s="95">
        <f t="shared" si="0"/>
        <v>325.55652766862926</v>
      </c>
      <c r="N8" s="77"/>
    </row>
    <row r="9" spans="1:14" ht="15.75" x14ac:dyDescent="0.25">
      <c r="A9" s="77"/>
      <c r="B9" s="77"/>
      <c r="C9" s="78" t="s">
        <v>641</v>
      </c>
      <c r="D9" s="82">
        <f>D6+D7+D8</f>
        <v>333.8031223936992</v>
      </c>
      <c r="E9" s="82">
        <f>E6+E7+E8</f>
        <v>-8.2465947250699418</v>
      </c>
      <c r="F9" s="82">
        <f>F6+F7+F8</f>
        <v>325.55652766862926</v>
      </c>
      <c r="G9" s="77"/>
      <c r="H9" s="77"/>
      <c r="N9" s="77"/>
    </row>
    <row r="10" spans="1:14" ht="15.75" x14ac:dyDescent="0.25">
      <c r="A10" s="77"/>
      <c r="B10" s="77"/>
      <c r="C10" s="83" t="s">
        <v>642</v>
      </c>
      <c r="D10" s="84">
        <f>'Gen Rec'!F6/1000000</f>
        <v>4.3905949500000014</v>
      </c>
      <c r="E10" s="84">
        <f>'Gen Rec'!F5/1000000</f>
        <v>1.5643363599999998</v>
      </c>
      <c r="F10" s="84">
        <f t="shared" ref="F10" si="1">D10+E10</f>
        <v>5.954931310000001</v>
      </c>
      <c r="G10" s="77"/>
      <c r="H10" s="77"/>
      <c r="N10" s="77"/>
    </row>
    <row r="11" spans="1:14" ht="15.75" x14ac:dyDescent="0.25">
      <c r="A11" s="77"/>
      <c r="B11" s="77"/>
      <c r="C11" s="83" t="s">
        <v>643</v>
      </c>
      <c r="D11" s="84">
        <f>D9+D10</f>
        <v>338.19371734369918</v>
      </c>
      <c r="E11" s="84">
        <f>E9+E10</f>
        <v>-6.6822583650699423</v>
      </c>
      <c r="F11" s="84">
        <f>F9+F10</f>
        <v>331.51145897862926</v>
      </c>
      <c r="G11" s="77"/>
      <c r="H11" s="77"/>
      <c r="I11" s="77"/>
      <c r="N11" s="77"/>
    </row>
    <row r="12" spans="1:14" ht="15.75" x14ac:dyDescent="0.25">
      <c r="A12" s="77"/>
      <c r="B12" s="77"/>
      <c r="G12" s="77"/>
      <c r="H12" s="77"/>
      <c r="I12" s="77"/>
      <c r="J12" s="77"/>
      <c r="K12" s="77"/>
      <c r="L12" s="77"/>
      <c r="M12" s="77"/>
      <c r="N12" s="77"/>
    </row>
    <row r="13" spans="1:14" ht="15.75" x14ac:dyDescent="0.25">
      <c r="A13" s="77"/>
      <c r="B13" s="76"/>
      <c r="C13" s="77"/>
      <c r="D13" s="77"/>
      <c r="E13" s="77"/>
      <c r="F13" s="77"/>
      <c r="G13" s="77"/>
      <c r="H13" s="77"/>
      <c r="I13" s="77"/>
      <c r="J13" s="77"/>
      <c r="K13" s="85"/>
      <c r="L13" s="85"/>
      <c r="M13" s="77"/>
      <c r="N13" s="77"/>
    </row>
    <row r="14" spans="1:14" ht="15.75" x14ac:dyDescent="0.25">
      <c r="A14" s="77"/>
      <c r="B14" s="76"/>
      <c r="C14" s="77"/>
      <c r="D14" s="77"/>
      <c r="E14" s="77"/>
      <c r="F14" s="77"/>
      <c r="G14" s="77"/>
      <c r="H14" s="77"/>
      <c r="I14" s="77"/>
      <c r="J14" s="77"/>
      <c r="K14" s="85"/>
      <c r="L14" s="85"/>
      <c r="M14" s="77"/>
      <c r="N14" s="77"/>
    </row>
    <row r="15" spans="1:14" ht="15.75" x14ac:dyDescent="0.25">
      <c r="A15" s="77"/>
      <c r="B15" s="77"/>
      <c r="C15" s="77"/>
      <c r="D15" s="77"/>
      <c r="E15" s="77"/>
      <c r="F15" s="77"/>
      <c r="G15" s="77"/>
      <c r="H15" s="77"/>
      <c r="I15" s="77"/>
      <c r="J15" s="77"/>
      <c r="K15" s="77"/>
      <c r="L15" s="77"/>
      <c r="M15" s="77"/>
      <c r="N15" s="77"/>
    </row>
    <row r="16" spans="1:14" ht="47.25" x14ac:dyDescent="0.25">
      <c r="A16" s="77"/>
      <c r="B16" s="77"/>
      <c r="C16" s="90" t="s">
        <v>624</v>
      </c>
      <c r="D16" s="77"/>
      <c r="E16" s="77"/>
      <c r="F16" s="77"/>
      <c r="G16" s="77"/>
      <c r="H16" s="77"/>
      <c r="I16" s="77"/>
      <c r="J16" s="91" t="s">
        <v>651</v>
      </c>
      <c r="K16" s="91" t="s">
        <v>650</v>
      </c>
      <c r="L16" s="91" t="s">
        <v>652</v>
      </c>
      <c r="M16" s="91" t="s">
        <v>653</v>
      </c>
      <c r="N16" s="77"/>
    </row>
    <row r="17" spans="1:14" ht="15.75" x14ac:dyDescent="0.25">
      <c r="A17" s="77"/>
      <c r="B17" s="86"/>
      <c r="D17" s="103">
        <f>D6-'2020_21 Forecast'!J5</f>
        <v>31.969427858260545</v>
      </c>
      <c r="E17" s="103">
        <f>E6-'2020_21 Forecast'!H5</f>
        <v>0.78476034846174514</v>
      </c>
      <c r="F17" s="103">
        <f>SUM(D17:E17)</f>
        <v>32.75418820672229</v>
      </c>
      <c r="G17" s="77"/>
      <c r="H17" s="77"/>
      <c r="I17" s="77"/>
      <c r="J17" s="99">
        <f>J6</f>
        <v>3.3305977468778156</v>
      </c>
      <c r="K17" s="98">
        <f>Exports!B6</f>
        <v>206274630.03600004</v>
      </c>
      <c r="L17" s="93">
        <f>'Exch Rate'!F3</f>
        <v>1.1208762845849805</v>
      </c>
      <c r="M17" s="94">
        <f>J17*1000000/K17/(1/L17)</f>
        <v>1.8098144339495258E-2</v>
      </c>
      <c r="N17" s="77"/>
    </row>
    <row r="18" spans="1:14" ht="15.75" x14ac:dyDescent="0.25">
      <c r="A18" s="77"/>
      <c r="B18" s="86"/>
      <c r="C18" s="77" t="s">
        <v>644</v>
      </c>
      <c r="D18" s="103">
        <f>'Gen Rec'!AH6/1000000</f>
        <v>33.314474215240331</v>
      </c>
      <c r="E18" s="103">
        <f>'Gen Rec'!AH5/1000000</f>
        <v>1.457247994865138</v>
      </c>
      <c r="F18" s="103">
        <f>SUM(D18:E18)</f>
        <v>34.771722210105466</v>
      </c>
      <c r="G18" s="77"/>
      <c r="H18" s="77"/>
      <c r="I18" s="77"/>
      <c r="J18" s="77"/>
      <c r="K18" s="77"/>
      <c r="L18" s="77"/>
      <c r="M18" s="77"/>
      <c r="N18" s="77"/>
    </row>
    <row r="19" spans="1:14" ht="15.75" x14ac:dyDescent="0.25">
      <c r="A19" s="77"/>
      <c r="B19" s="86"/>
      <c r="C19" s="77" t="s">
        <v>645</v>
      </c>
      <c r="D19" s="103">
        <f>D17-D18</f>
        <v>-1.3450463569797861</v>
      </c>
      <c r="E19" s="103">
        <f>E17-E18</f>
        <v>-0.67248764640339287</v>
      </c>
      <c r="F19" s="103">
        <f>SUM(D19:E19)</f>
        <v>-2.017534003383179</v>
      </c>
      <c r="G19" s="77"/>
      <c r="H19" s="77"/>
      <c r="I19" s="101"/>
      <c r="J19" s="101"/>
      <c r="K19" s="101"/>
      <c r="L19" s="101"/>
      <c r="M19" s="101"/>
      <c r="N19" s="77"/>
    </row>
    <row r="20" spans="1:14" ht="15.75" x14ac:dyDescent="0.25">
      <c r="A20" s="77"/>
      <c r="B20" s="77"/>
      <c r="C20" s="87"/>
      <c r="D20" s="77"/>
      <c r="E20" s="77"/>
      <c r="F20" s="77"/>
      <c r="G20" s="77"/>
      <c r="H20" s="77"/>
      <c r="I20" s="101"/>
      <c r="J20" s="101"/>
      <c r="K20" s="101"/>
      <c r="L20" s="101"/>
      <c r="M20" s="101"/>
    </row>
    <row r="21" spans="1:14" ht="15.6" customHeight="1" x14ac:dyDescent="0.25">
      <c r="A21" s="77"/>
      <c r="B21" s="77"/>
      <c r="C21" s="77"/>
      <c r="D21" s="77"/>
      <c r="E21" s="77"/>
      <c r="F21" s="77"/>
      <c r="G21" s="77"/>
      <c r="H21" s="77"/>
      <c r="I21" s="107" t="s">
        <v>654</v>
      </c>
      <c r="J21" s="115" t="s">
        <v>649</v>
      </c>
      <c r="K21" s="116"/>
      <c r="L21" s="116"/>
      <c r="M21" s="117"/>
    </row>
    <row r="22" spans="1:14" ht="31.5" x14ac:dyDescent="0.25">
      <c r="I22" s="108"/>
      <c r="J22" s="102" t="s">
        <v>638</v>
      </c>
      <c r="K22" s="102" t="s">
        <v>647</v>
      </c>
      <c r="L22" s="102" t="s">
        <v>646</v>
      </c>
      <c r="M22" s="102" t="s">
        <v>604</v>
      </c>
    </row>
    <row r="23" spans="1:14" ht="15.75" x14ac:dyDescent="0.25">
      <c r="I23" s="92" t="s">
        <v>3</v>
      </c>
      <c r="J23" s="104">
        <f>'2020_21 Forecast'!J5</f>
        <v>-28.638830111382731</v>
      </c>
      <c r="K23" s="105">
        <f>'2020_21 Forecast'!E5</f>
        <v>33.137393768195011</v>
      </c>
      <c r="L23" s="105">
        <f>'2020_21 Forecast'!F5</f>
        <v>293.45179100080003</v>
      </c>
      <c r="M23" s="95">
        <f>SUM(J23:L23)</f>
        <v>297.95035465761231</v>
      </c>
    </row>
    <row r="24" spans="1:14" ht="15.75" x14ac:dyDescent="0.25">
      <c r="C24" s="77"/>
      <c r="D24" s="76" t="s">
        <v>612</v>
      </c>
      <c r="E24" s="76" t="s">
        <v>613</v>
      </c>
      <c r="F24" s="76" t="s">
        <v>604</v>
      </c>
      <c r="I24" s="92" t="s">
        <v>637</v>
      </c>
      <c r="J24" s="104">
        <f>'2020_21 Forecast'!H5</f>
        <v>-9.031355073531687</v>
      </c>
      <c r="K24" s="105">
        <v>0</v>
      </c>
      <c r="L24" s="105">
        <v>0</v>
      </c>
      <c r="M24" s="95">
        <f t="shared" ref="M24:M25" si="2">SUM(J24:L24)</f>
        <v>-9.031355073531687</v>
      </c>
    </row>
    <row r="25" spans="1:14" ht="15.75" x14ac:dyDescent="0.25">
      <c r="C25" s="78" t="s">
        <v>617</v>
      </c>
      <c r="D25" s="79">
        <f>('Gen Rec'!M6+'Gen Rec'!AP6)/1000000</f>
        <v>294.89015747818814</v>
      </c>
      <c r="E25" s="79">
        <f>('Gen Rec'!M5+'Gen Rec'!AP5)/1000000</f>
        <v>5.7723993428233884</v>
      </c>
      <c r="F25" s="79">
        <f>D25+E25</f>
        <v>300.66255682101155</v>
      </c>
      <c r="I25" s="92" t="s">
        <v>648</v>
      </c>
      <c r="J25" s="106">
        <f>SUM(J23:J24)</f>
        <v>-37.670185184914416</v>
      </c>
      <c r="K25" s="106">
        <f t="shared" ref="K25:L25" si="3">SUM(K23:K24)</f>
        <v>33.137393768195011</v>
      </c>
      <c r="L25" s="106">
        <f t="shared" si="3"/>
        <v>293.45179100080003</v>
      </c>
      <c r="M25" s="95">
        <f t="shared" si="2"/>
        <v>288.91899958408061</v>
      </c>
    </row>
    <row r="26" spans="1:14" ht="15.75" x14ac:dyDescent="0.25">
      <c r="C26" s="78" t="s">
        <v>13</v>
      </c>
      <c r="D26" s="79">
        <f>('Gen Rec'!L6+'Gen Rec'!AO6)/1000000</f>
        <v>-291.55955973131057</v>
      </c>
      <c r="E26" s="79">
        <f>('Gen Rec'!L5+'Gen Rec'!AO5)/1000000</f>
        <v>-14.018994067893331</v>
      </c>
      <c r="F26" s="79">
        <f>D26+E26</f>
        <v>-305.57855379920392</v>
      </c>
    </row>
    <row r="27" spans="1:14" ht="15.75" x14ac:dyDescent="0.25">
      <c r="I27" s="107" t="s">
        <v>656</v>
      </c>
      <c r="J27" s="112" t="s">
        <v>649</v>
      </c>
      <c r="K27" s="113"/>
      <c r="L27" s="113"/>
      <c r="M27" s="114"/>
    </row>
    <row r="28" spans="1:14" ht="31.5" x14ac:dyDescent="0.25">
      <c r="I28" s="108"/>
      <c r="J28" s="100" t="s">
        <v>638</v>
      </c>
      <c r="K28" s="100" t="s">
        <v>647</v>
      </c>
      <c r="L28" s="100" t="s">
        <v>646</v>
      </c>
      <c r="M28" s="100" t="s">
        <v>604</v>
      </c>
    </row>
    <row r="29" spans="1:14" ht="15.75" x14ac:dyDescent="0.25">
      <c r="I29" s="92" t="s">
        <v>3</v>
      </c>
      <c r="J29" s="104">
        <f>J35-J23</f>
        <v>31.969427858260545</v>
      </c>
      <c r="K29" s="104">
        <f t="shared" ref="K29:L30" si="4">K35-K23</f>
        <v>0.61648128557166615</v>
      </c>
      <c r="L29" s="104">
        <f t="shared" si="4"/>
        <v>3.266858592254664</v>
      </c>
      <c r="M29" s="95">
        <f>SUM(J29:L29)</f>
        <v>35.852767736086875</v>
      </c>
    </row>
    <row r="30" spans="1:14" ht="15.75" x14ac:dyDescent="0.25">
      <c r="I30" s="92" t="s">
        <v>637</v>
      </c>
      <c r="J30" s="104">
        <f>J36-J24</f>
        <v>0.78476034846174514</v>
      </c>
      <c r="K30" s="104">
        <f t="shared" si="4"/>
        <v>0</v>
      </c>
      <c r="L30" s="104">
        <f t="shared" si="4"/>
        <v>0</v>
      </c>
      <c r="M30" s="95">
        <f t="shared" ref="M30:M31" si="5">SUM(J30:L30)</f>
        <v>0.78476034846174514</v>
      </c>
    </row>
    <row r="31" spans="1:14" ht="15.75" x14ac:dyDescent="0.25">
      <c r="I31" s="92" t="s">
        <v>648</v>
      </c>
      <c r="J31" s="106">
        <f>SUM(J29:J30)</f>
        <v>32.75418820672229</v>
      </c>
      <c r="K31" s="106">
        <f t="shared" ref="K31:L31" si="6">SUM(K29:K30)</f>
        <v>0.61648128557166615</v>
      </c>
      <c r="L31" s="106">
        <f t="shared" si="6"/>
        <v>3.266858592254664</v>
      </c>
      <c r="M31" s="95">
        <f t="shared" si="5"/>
        <v>36.63752808454862</v>
      </c>
    </row>
    <row r="33" spans="9:13" ht="15.75" x14ac:dyDescent="0.25">
      <c r="I33" s="107" t="s">
        <v>655</v>
      </c>
      <c r="J33" s="109" t="s">
        <v>649</v>
      </c>
      <c r="K33" s="110"/>
      <c r="L33" s="110"/>
      <c r="M33" s="111"/>
    </row>
    <row r="34" spans="9:13" ht="31.5" x14ac:dyDescent="0.25">
      <c r="I34" s="108"/>
      <c r="J34" s="91" t="s">
        <v>638</v>
      </c>
      <c r="K34" s="91" t="s">
        <v>647</v>
      </c>
      <c r="L34" s="91" t="s">
        <v>646</v>
      </c>
      <c r="M34" s="91" t="s">
        <v>604</v>
      </c>
    </row>
    <row r="35" spans="9:13" ht="15.75" x14ac:dyDescent="0.25">
      <c r="I35" s="92" t="s">
        <v>3</v>
      </c>
      <c r="J35" s="104">
        <v>3.3305977468778156</v>
      </c>
      <c r="K35" s="105">
        <v>33.753875053766677</v>
      </c>
      <c r="L35" s="105">
        <v>296.71864959305469</v>
      </c>
      <c r="M35" s="95">
        <v>333.8031223936992</v>
      </c>
    </row>
    <row r="36" spans="9:13" ht="15.75" x14ac:dyDescent="0.25">
      <c r="I36" s="92" t="s">
        <v>637</v>
      </c>
      <c r="J36" s="104">
        <v>-8.2465947250699418</v>
      </c>
      <c r="K36" s="105">
        <v>0</v>
      </c>
      <c r="L36" s="105">
        <v>0</v>
      </c>
      <c r="M36" s="95">
        <v>-8.2465947250699418</v>
      </c>
    </row>
    <row r="37" spans="9:13" ht="15.75" x14ac:dyDescent="0.25">
      <c r="I37" s="92" t="s">
        <v>648</v>
      </c>
      <c r="J37" s="106">
        <v>-4.9159969781921262</v>
      </c>
      <c r="K37" s="95">
        <v>33.753875053766677</v>
      </c>
      <c r="L37" s="95">
        <v>296.71864959305469</v>
      </c>
      <c r="M37" s="95">
        <v>325.55652766862926</v>
      </c>
    </row>
  </sheetData>
  <mergeCells count="7">
    <mergeCell ref="I27:I28"/>
    <mergeCell ref="I21:I22"/>
    <mergeCell ref="J33:M33"/>
    <mergeCell ref="I33:I34"/>
    <mergeCell ref="J4:M4"/>
    <mergeCell ref="J27:M27"/>
    <mergeCell ref="J21:M2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00AE48-678D-4FAD-B473-091EF2F7E50A}">
  <dimension ref="R30:V36"/>
  <sheetViews>
    <sheetView workbookViewId="0">
      <selection activeCell="S32" sqref="S32"/>
    </sheetView>
  </sheetViews>
  <sheetFormatPr defaultRowHeight="15" x14ac:dyDescent="0.25"/>
  <sheetData>
    <row r="30" spans="18:22" ht="15.75" x14ac:dyDescent="0.25">
      <c r="R30" s="87" t="s">
        <v>630</v>
      </c>
      <c r="S30" s="77"/>
      <c r="T30" s="77"/>
      <c r="U30" s="77"/>
      <c r="V30" s="77"/>
    </row>
    <row r="31" spans="18:22" ht="15.75" x14ac:dyDescent="0.25">
      <c r="R31" s="77"/>
      <c r="S31" s="76" t="s">
        <v>627</v>
      </c>
      <c r="T31" s="76" t="s">
        <v>628</v>
      </c>
      <c r="U31" s="76" t="s">
        <v>629</v>
      </c>
      <c r="V31" s="76" t="s">
        <v>19</v>
      </c>
    </row>
    <row r="32" spans="18:22" ht="94.5" x14ac:dyDescent="0.25">
      <c r="R32" s="89" t="s">
        <v>636</v>
      </c>
      <c r="S32" s="77">
        <v>49</v>
      </c>
      <c r="T32" s="77">
        <v>59</v>
      </c>
      <c r="U32" s="77">
        <v>65</v>
      </c>
      <c r="V32" s="77">
        <v>96</v>
      </c>
    </row>
    <row r="33" spans="18:22" ht="15.75" x14ac:dyDescent="0.25">
      <c r="R33" s="87" t="s">
        <v>631</v>
      </c>
      <c r="S33" s="77">
        <v>4.5999999999999996</v>
      </c>
      <c r="T33" s="77">
        <v>11.6</v>
      </c>
      <c r="U33" s="77">
        <v>17</v>
      </c>
      <c r="V33" s="77">
        <v>20</v>
      </c>
    </row>
    <row r="34" spans="18:22" ht="15.75" x14ac:dyDescent="0.25">
      <c r="R34" s="87" t="s">
        <v>632</v>
      </c>
      <c r="S34" s="77">
        <v>4.5999999999999996</v>
      </c>
      <c r="T34" s="77">
        <v>11.6</v>
      </c>
      <c r="U34" s="77">
        <v>17</v>
      </c>
      <c r="V34" s="77">
        <v>25</v>
      </c>
    </row>
    <row r="35" spans="18:22" ht="15.75" x14ac:dyDescent="0.25">
      <c r="R35" s="87" t="s">
        <v>633</v>
      </c>
      <c r="S35" s="77">
        <v>4.5999999999999996</v>
      </c>
      <c r="T35" s="77">
        <v>11.6</v>
      </c>
      <c r="U35" s="77">
        <v>17</v>
      </c>
      <c r="V35" s="77">
        <v>30</v>
      </c>
    </row>
    <row r="36" spans="18:22" ht="15.75" x14ac:dyDescent="0.25">
      <c r="R36" s="87" t="s">
        <v>634</v>
      </c>
      <c r="S36" s="77">
        <v>4.5999999999999996</v>
      </c>
      <c r="T36" s="77">
        <v>11.6</v>
      </c>
      <c r="U36" s="77">
        <v>17</v>
      </c>
      <c r="V36" s="77">
        <v>34.770000000000003</v>
      </c>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5A1C30-6050-4BF1-83BD-7DD5F7A98105}">
  <sheetPr>
    <tabColor rgb="FF92D050"/>
  </sheetPr>
  <dimension ref="A1:M32"/>
  <sheetViews>
    <sheetView zoomScaleNormal="100" workbookViewId="0">
      <selection activeCell="D5" sqref="D5:H5"/>
    </sheetView>
  </sheetViews>
  <sheetFormatPr defaultRowHeight="15" x14ac:dyDescent="0.25"/>
  <cols>
    <col min="1" max="1" width="4.42578125" customWidth="1"/>
    <col min="2" max="2" width="24" customWidth="1"/>
    <col min="3" max="3" width="30.28515625" customWidth="1"/>
    <col min="4" max="7" width="15.5703125" customWidth="1"/>
    <col min="8" max="8" width="17.140625" customWidth="1"/>
    <col min="9" max="9" width="2.7109375" customWidth="1"/>
    <col min="10" max="13" width="15.85546875" customWidth="1"/>
    <col min="14" max="15" width="15.7109375" customWidth="1"/>
  </cols>
  <sheetData>
    <row r="1" spans="1:13" x14ac:dyDescent="0.25">
      <c r="A1" s="1" t="s">
        <v>5</v>
      </c>
    </row>
    <row r="3" spans="1:13" x14ac:dyDescent="0.25">
      <c r="B3" s="125" t="s">
        <v>6</v>
      </c>
      <c r="C3" s="126"/>
      <c r="D3" s="126"/>
      <c r="E3" s="126"/>
      <c r="F3" s="126"/>
      <c r="G3" s="126"/>
      <c r="H3" s="127"/>
      <c r="I3" s="128"/>
      <c r="J3" s="125" t="s">
        <v>7</v>
      </c>
      <c r="K3" s="126"/>
      <c r="L3" s="126"/>
      <c r="M3" s="127"/>
    </row>
    <row r="4" spans="1:13" ht="44.45" customHeight="1" x14ac:dyDescent="0.25">
      <c r="B4" s="7" t="s">
        <v>8</v>
      </c>
      <c r="C4" s="8" t="s">
        <v>9</v>
      </c>
      <c r="D4" s="8" t="s">
        <v>10</v>
      </c>
      <c r="E4" s="8" t="s">
        <v>11</v>
      </c>
      <c r="F4" s="8" t="s">
        <v>12</v>
      </c>
      <c r="G4" s="8" t="s">
        <v>13</v>
      </c>
      <c r="H4" s="8" t="s">
        <v>14</v>
      </c>
      <c r="I4" s="129"/>
      <c r="J4" s="8" t="s">
        <v>15</v>
      </c>
      <c r="K4" s="8" t="s">
        <v>16</v>
      </c>
      <c r="L4" s="8" t="s">
        <v>17</v>
      </c>
      <c r="M4" s="8" t="s">
        <v>18</v>
      </c>
    </row>
    <row r="5" spans="1:13" x14ac:dyDescent="0.25">
      <c r="B5" s="6" t="s">
        <v>19</v>
      </c>
      <c r="C5" s="9">
        <v>288.91899958408072</v>
      </c>
      <c r="D5" s="9">
        <v>286.9063820379173</v>
      </c>
      <c r="E5" s="9">
        <v>33.137393768195011</v>
      </c>
      <c r="F5" s="9">
        <v>293.45179100080003</v>
      </c>
      <c r="G5" s="9">
        <v>-315.54521214930003</v>
      </c>
      <c r="H5" s="10">
        <v>-9.031355073531687</v>
      </c>
      <c r="I5" s="130"/>
      <c r="J5" s="11">
        <v>-28.638830111382731</v>
      </c>
      <c r="K5" s="12">
        <v>200000000</v>
      </c>
      <c r="L5" s="13">
        <v>0.89856354679802997</v>
      </c>
      <c r="M5" s="14">
        <v>-0.15935895804718125</v>
      </c>
    </row>
    <row r="6" spans="1:13" x14ac:dyDescent="0.25">
      <c r="J6" s="54"/>
    </row>
    <row r="7" spans="1:13" x14ac:dyDescent="0.25">
      <c r="A7" s="1" t="s">
        <v>20</v>
      </c>
    </row>
    <row r="8" spans="1:13" ht="9" customHeight="1" x14ac:dyDescent="0.25">
      <c r="A8" s="1"/>
    </row>
    <row r="9" spans="1:13" x14ac:dyDescent="0.25">
      <c r="B9" s="131" t="s">
        <v>21</v>
      </c>
      <c r="C9" s="132"/>
      <c r="D9" s="7" t="s">
        <v>22</v>
      </c>
      <c r="E9" s="7" t="s">
        <v>23</v>
      </c>
      <c r="F9" s="7" t="s">
        <v>24</v>
      </c>
    </row>
    <row r="10" spans="1:13" ht="15" customHeight="1" x14ac:dyDescent="0.25">
      <c r="B10" s="118" t="s">
        <v>25</v>
      </c>
      <c r="C10" s="119"/>
      <c r="D10" s="15">
        <v>-28.638830111382731</v>
      </c>
      <c r="E10" s="15">
        <v>-28.638830111382731</v>
      </c>
      <c r="F10" s="15">
        <v>-28.638830111382731</v>
      </c>
    </row>
    <row r="11" spans="1:13" ht="15" customHeight="1" x14ac:dyDescent="0.25">
      <c r="B11" s="118" t="s">
        <v>26</v>
      </c>
      <c r="C11" s="119"/>
      <c r="D11" s="16">
        <v>10</v>
      </c>
      <c r="E11" s="16">
        <v>20</v>
      </c>
      <c r="F11" s="16">
        <v>30</v>
      </c>
    </row>
    <row r="12" spans="1:13" ht="15" customHeight="1" x14ac:dyDescent="0.25">
      <c r="B12" s="118" t="s">
        <v>27</v>
      </c>
      <c r="C12" s="119"/>
      <c r="D12" s="15">
        <v>-5</v>
      </c>
      <c r="E12" s="16">
        <v>0</v>
      </c>
      <c r="F12" s="16">
        <v>0</v>
      </c>
    </row>
    <row r="13" spans="1:13" x14ac:dyDescent="0.25">
      <c r="B13" s="120" t="s">
        <v>28</v>
      </c>
      <c r="C13" s="121"/>
      <c r="D13" s="121"/>
      <c r="E13" s="121"/>
      <c r="F13" s="122"/>
    </row>
    <row r="14" spans="1:13" ht="15" customHeight="1" x14ac:dyDescent="0.25">
      <c r="B14" s="118" t="s">
        <v>29</v>
      </c>
      <c r="C14" s="119"/>
      <c r="D14" s="16">
        <v>0.5</v>
      </c>
      <c r="E14" s="16">
        <v>1.25</v>
      </c>
      <c r="F14" s="16">
        <v>1.5</v>
      </c>
    </row>
    <row r="15" spans="1:13" ht="4.5" customHeight="1" x14ac:dyDescent="0.25">
      <c r="B15" s="17"/>
      <c r="C15" s="17"/>
      <c r="D15" s="18"/>
      <c r="E15" s="18"/>
      <c r="F15" s="18"/>
    </row>
    <row r="16" spans="1:13" x14ac:dyDescent="0.25">
      <c r="B16" s="123" t="s">
        <v>30</v>
      </c>
      <c r="C16" s="124"/>
      <c r="D16" s="19">
        <v>-23.138830111382731</v>
      </c>
      <c r="E16" s="20">
        <v>-7.388830111382731</v>
      </c>
      <c r="F16" s="20">
        <v>2.861169888617269</v>
      </c>
    </row>
    <row r="17" spans="2:7" x14ac:dyDescent="0.25">
      <c r="B17" s="123" t="s">
        <v>31</v>
      </c>
      <c r="C17" s="124"/>
      <c r="D17" s="21">
        <v>-0.12875455605692204</v>
      </c>
      <c r="E17" s="21">
        <v>-4.1114677630270692E-2</v>
      </c>
      <c r="F17" s="21">
        <v>1.5920798806121465E-2</v>
      </c>
      <c r="G17" s="96"/>
    </row>
    <row r="18" spans="2:7" x14ac:dyDescent="0.25">
      <c r="B18" s="22"/>
      <c r="C18" s="22"/>
      <c r="D18" s="22"/>
      <c r="E18" s="22"/>
      <c r="F18" s="22"/>
    </row>
    <row r="19" spans="2:7" x14ac:dyDescent="0.25">
      <c r="B19" s="23" t="s">
        <v>32</v>
      </c>
    </row>
    <row r="20" spans="2:7" x14ac:dyDescent="0.25">
      <c r="B20" s="24" t="s">
        <v>33</v>
      </c>
    </row>
    <row r="22" spans="2:7" x14ac:dyDescent="0.25">
      <c r="B22" t="s">
        <v>34</v>
      </c>
    </row>
    <row r="23" spans="2:7" x14ac:dyDescent="0.25">
      <c r="C23" s="24" t="s">
        <v>35</v>
      </c>
    </row>
    <row r="24" spans="2:7" x14ac:dyDescent="0.25">
      <c r="C24" s="24" t="s">
        <v>36</v>
      </c>
    </row>
    <row r="32" spans="2:7" x14ac:dyDescent="0.25">
      <c r="F32" s="97"/>
    </row>
  </sheetData>
  <mergeCells count="11">
    <mergeCell ref="B11:C11"/>
    <mergeCell ref="B3:H3"/>
    <mergeCell ref="I3:I5"/>
    <mergeCell ref="J3:M3"/>
    <mergeCell ref="B9:C9"/>
    <mergeCell ref="B10:C10"/>
    <mergeCell ref="B12:C12"/>
    <mergeCell ref="B13:F13"/>
    <mergeCell ref="B14:C14"/>
    <mergeCell ref="B16:C16"/>
    <mergeCell ref="B17:C17"/>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DF880C-7270-4709-A7C9-48BB5D0D0860}">
  <dimension ref="B5:E13"/>
  <sheetViews>
    <sheetView workbookViewId="0">
      <selection activeCell="C10" sqref="C10"/>
    </sheetView>
  </sheetViews>
  <sheetFormatPr defaultRowHeight="15" x14ac:dyDescent="0.25"/>
  <cols>
    <col min="2" max="2" width="15.85546875" bestFit="1" customWidth="1"/>
    <col min="3" max="3" width="13.85546875" bestFit="1" customWidth="1"/>
    <col min="5" max="5" width="27.7109375" bestFit="1" customWidth="1"/>
  </cols>
  <sheetData>
    <row r="5" spans="2:5" x14ac:dyDescent="0.25">
      <c r="C5" t="s">
        <v>626</v>
      </c>
      <c r="E5" s="1" t="s">
        <v>622</v>
      </c>
    </row>
    <row r="6" spans="2:5" x14ac:dyDescent="0.25">
      <c r="B6" t="s">
        <v>618</v>
      </c>
      <c r="C6" s="75">
        <v>67566.94</v>
      </c>
      <c r="E6" t="s">
        <v>373</v>
      </c>
    </row>
    <row r="7" spans="2:5" x14ac:dyDescent="0.25">
      <c r="B7" t="s">
        <v>619</v>
      </c>
      <c r="C7" s="75">
        <f>'Gen Rec'!H7</f>
        <v>68273.140000000014</v>
      </c>
      <c r="E7" t="s">
        <v>375</v>
      </c>
    </row>
    <row r="8" spans="2:5" x14ac:dyDescent="0.25">
      <c r="B8" t="s">
        <v>620</v>
      </c>
      <c r="C8" s="75">
        <f>C7-C6</f>
        <v>706.20000000001164</v>
      </c>
      <c r="E8" t="s">
        <v>433</v>
      </c>
    </row>
    <row r="9" spans="2:5" x14ac:dyDescent="0.25">
      <c r="B9" t="s">
        <v>625</v>
      </c>
      <c r="C9">
        <v>115</v>
      </c>
      <c r="E9" t="s">
        <v>454</v>
      </c>
    </row>
    <row r="10" spans="2:5" x14ac:dyDescent="0.25">
      <c r="E10" t="s">
        <v>482</v>
      </c>
    </row>
    <row r="11" spans="2:5" x14ac:dyDescent="0.25">
      <c r="E11" t="s">
        <v>529</v>
      </c>
    </row>
    <row r="12" spans="2:5" x14ac:dyDescent="0.25">
      <c r="B12" t="s">
        <v>621</v>
      </c>
      <c r="C12" s="73">
        <f>(C8+C9)*'Gen Rec'!$J$10*1000</f>
        <v>-3982117.8740000566</v>
      </c>
      <c r="E12" t="s">
        <v>460</v>
      </c>
    </row>
    <row r="13" spans="2:5" x14ac:dyDescent="0.25">
      <c r="E13" t="s">
        <v>623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605489-4FD7-40DB-96F1-94CD9F4802F6}">
  <dimension ref="A1:AQ181"/>
  <sheetViews>
    <sheetView workbookViewId="0">
      <pane xSplit="6" ySplit="9" topLeftCell="AI10" activePane="bottomRight" state="frozen"/>
      <selection pane="topRight" activeCell="G1" sqref="G1"/>
      <selection pane="bottomLeft" activeCell="A6" sqref="A6"/>
      <selection pane="bottomRight" activeCell="F5" sqref="F5"/>
    </sheetView>
  </sheetViews>
  <sheetFormatPr defaultRowHeight="15" x14ac:dyDescent="0.25"/>
  <cols>
    <col min="2" max="2" width="23.7109375" customWidth="1"/>
    <col min="3" max="3" width="18.140625" bestFit="1" customWidth="1"/>
    <col min="4" max="4" width="18.85546875" customWidth="1"/>
    <col min="5" max="5" width="15.5703125" bestFit="1" customWidth="1"/>
    <col min="6" max="6" width="13.85546875" bestFit="1" customWidth="1"/>
    <col min="7" max="7" width="15.85546875" bestFit="1" customWidth="1"/>
    <col min="8" max="8" width="11.42578125" bestFit="1" customWidth="1"/>
    <col min="9" max="9" width="32.85546875" bestFit="1" customWidth="1"/>
    <col min="10" max="11" width="11.85546875" bestFit="1" customWidth="1"/>
    <col min="12" max="13" width="15.85546875" bestFit="1" customWidth="1"/>
    <col min="14" max="14" width="15.85546875" customWidth="1"/>
    <col min="15" max="15" width="7.42578125" bestFit="1" customWidth="1"/>
    <col min="16" max="16" width="8.5703125" bestFit="1" customWidth="1"/>
    <col min="17" max="20" width="8.5703125" customWidth="1"/>
    <col min="21" max="21" width="15.42578125" bestFit="1" customWidth="1"/>
    <col min="22" max="22" width="16.140625" bestFit="1" customWidth="1"/>
    <col min="23" max="23" width="13.28515625" bestFit="1" customWidth="1"/>
    <col min="24" max="24" width="16.140625" bestFit="1" customWidth="1"/>
    <col min="25" max="25" width="15.5703125" bestFit="1" customWidth="1"/>
    <col min="26" max="26" width="8.28515625" bestFit="1" customWidth="1"/>
    <col min="27" max="27" width="11.140625" bestFit="1" customWidth="1"/>
    <col min="28" max="28" width="8.5703125" bestFit="1" customWidth="1"/>
    <col min="29" max="29" width="13.28515625" bestFit="1" customWidth="1"/>
    <col min="30" max="30" width="15.28515625" bestFit="1" customWidth="1"/>
    <col min="31" max="36" width="15.28515625" customWidth="1"/>
    <col min="37" max="37" width="15.28515625" bestFit="1" customWidth="1"/>
    <col min="38" max="38" width="17.140625" bestFit="1" customWidth="1"/>
    <col min="39" max="40" width="16.140625" bestFit="1" customWidth="1"/>
    <col min="41" max="42" width="15.140625" bestFit="1" customWidth="1"/>
  </cols>
  <sheetData>
    <row r="1" spans="1:43" ht="15.75" thickBot="1" x14ac:dyDescent="0.3">
      <c r="A1" s="1" t="s">
        <v>584</v>
      </c>
    </row>
    <row r="2" spans="1:43" ht="15.75" thickBot="1" x14ac:dyDescent="0.3">
      <c r="A2" t="s">
        <v>581</v>
      </c>
      <c r="B2" s="47" t="s">
        <v>582</v>
      </c>
      <c r="C2" s="48" t="s">
        <v>583</v>
      </c>
      <c r="D2" s="62" t="s">
        <v>591</v>
      </c>
      <c r="E2" s="65" t="s">
        <v>607</v>
      </c>
    </row>
    <row r="4" spans="1:43" ht="21" x14ac:dyDescent="0.35">
      <c r="A4" s="133" t="s">
        <v>610</v>
      </c>
      <c r="B4" s="134"/>
      <c r="C4" s="69" t="s">
        <v>597</v>
      </c>
      <c r="D4" s="7" t="s">
        <v>598</v>
      </c>
      <c r="E4" s="7" t="s">
        <v>599</v>
      </c>
      <c r="F4" s="6" t="s">
        <v>608</v>
      </c>
      <c r="G4" s="6" t="s">
        <v>604</v>
      </c>
      <c r="H4" s="1"/>
    </row>
    <row r="5" spans="1:43" x14ac:dyDescent="0.25">
      <c r="A5" s="70" t="s">
        <v>596</v>
      </c>
      <c r="B5" s="71"/>
      <c r="C5" s="66">
        <f>N5+AH5</f>
        <v>-8246594.725069942</v>
      </c>
      <c r="D5" s="66">
        <f>U5+AI5</f>
        <v>0</v>
      </c>
      <c r="E5" s="66">
        <f>V5+AJ5</f>
        <v>0</v>
      </c>
      <c r="F5" s="66">
        <f>AK5</f>
        <v>1564336.3599999999</v>
      </c>
      <c r="G5" s="66">
        <f>SUM(C5:F5)</f>
        <v>-6682258.3650699425</v>
      </c>
      <c r="H5" s="3" t="b">
        <f>ABS(G5-AN5)&lt;0.1</f>
        <v>1</v>
      </c>
      <c r="L5" s="59">
        <f>SUMIF($C$10:$C$181,"Embedded",L$10:L$181)</f>
        <v>-15003254.630000003</v>
      </c>
      <c r="M5" s="59">
        <f t="shared" ref="M5:N5" si="0">SUMIF($C$10:$C$181,"Embedded",M$10:M$181)</f>
        <v>5299411.9100649208</v>
      </c>
      <c r="N5" s="59">
        <f t="shared" si="0"/>
        <v>-9703842.71993508</v>
      </c>
      <c r="O5" s="3" t="b">
        <f>ABS(N5-(L5+M5))&lt;0.1</f>
        <v>1</v>
      </c>
      <c r="U5" s="59">
        <f t="shared" ref="U5:X5" si="1">SUMIF($C$10:$C$181,"Embedded",U$10:U$181)</f>
        <v>0</v>
      </c>
      <c r="V5" s="59">
        <f t="shared" si="1"/>
        <v>0</v>
      </c>
      <c r="X5" s="59">
        <f t="shared" si="1"/>
        <v>-9703842.7300000004</v>
      </c>
      <c r="Y5" s="59">
        <f t="shared" ref="Y5" si="2">SUMIF($C$10:$C$181,"Embedded",Y$10:Y$181)</f>
        <v>-672487.66000000096</v>
      </c>
      <c r="Z5" s="61" t="b">
        <f>ABS(X5-(N5+U5+V5))&lt;0.1</f>
        <v>1</v>
      </c>
      <c r="AD5" s="59">
        <f t="shared" ref="AD5" si="3">SUMIF($C$10:$C$181,"Embedded",AD$10:AD$181)</f>
        <v>1457248.0000000005</v>
      </c>
      <c r="AG5" s="61" t="b">
        <f>ABS(AD5-SUM(AH5:AJ5))&lt;0.1</f>
        <v>1</v>
      </c>
      <c r="AH5" s="59">
        <f t="shared" ref="AH5:AP5" si="4">SUMIF($C$10:$C$181,"Embedded",AH$10:AH$181)</f>
        <v>1457247.9948651381</v>
      </c>
      <c r="AI5" s="59">
        <f t="shared" si="4"/>
        <v>0</v>
      </c>
      <c r="AJ5" s="59">
        <f t="shared" si="4"/>
        <v>0</v>
      </c>
      <c r="AK5" s="59">
        <f t="shared" si="4"/>
        <v>1564336.3599999999</v>
      </c>
      <c r="AL5" s="59">
        <f t="shared" si="4"/>
        <v>2349096.6999999993</v>
      </c>
      <c r="AM5" s="59">
        <f t="shared" si="4"/>
        <v>-9031355.0699999984</v>
      </c>
      <c r="AN5" s="59">
        <f t="shared" si="4"/>
        <v>-6682258.370000001</v>
      </c>
      <c r="AO5" s="59">
        <f t="shared" si="4"/>
        <v>984260.56210667093</v>
      </c>
      <c r="AP5" s="59">
        <f t="shared" si="4"/>
        <v>472987.43275846716</v>
      </c>
      <c r="AQ5" s="60" t="b">
        <f>ABS((AP5+AO5)-AH5)&lt;0.1</f>
        <v>1</v>
      </c>
    </row>
    <row r="6" spans="1:43" x14ac:dyDescent="0.25">
      <c r="A6" s="70" t="s">
        <v>609</v>
      </c>
      <c r="B6" s="71"/>
      <c r="C6" s="67">
        <f>N6+AH6</f>
        <v>3330597.7468778156</v>
      </c>
      <c r="D6" s="66">
        <f>U6+AI6</f>
        <v>33753875.053766675</v>
      </c>
      <c r="E6" s="66">
        <f t="shared" ref="E6:E8" si="5">V6+AJ6</f>
        <v>296718649.59305471</v>
      </c>
      <c r="F6" s="66">
        <f t="shared" ref="F6:F8" si="6">AK6</f>
        <v>4390594.9500000011</v>
      </c>
      <c r="G6" s="66">
        <f t="shared" ref="G6:G8" si="7">SUM(C6:F6)</f>
        <v>338193717.34369916</v>
      </c>
      <c r="H6" s="3" t="b">
        <f t="shared" ref="H6:H8" si="8">ABS(G6-AN6)&lt;0.1</f>
        <v>1</v>
      </c>
      <c r="L6" s="59">
        <f>SUMIF($C$10:$C$181,"&lt;&gt;Embedded",L$10:L$181)</f>
        <v>-316063100.83530021</v>
      </c>
      <c r="M6" s="59">
        <f t="shared" ref="M6:N6" si="9">SUMIF($C$10:$C$181,"&lt;&gt;Embedded",M$10:M$181)</f>
        <v>286079224.36693746</v>
      </c>
      <c r="N6" s="59">
        <f t="shared" si="9"/>
        <v>-29983876.468362514</v>
      </c>
      <c r="O6" s="3" t="b">
        <f>ABS(N6-(L6+M6))&lt;0.1</f>
        <v>1</v>
      </c>
      <c r="U6" s="59">
        <f t="shared" ref="U6:X6" si="10">SUMIF($C$10:$C$181,"&lt;&gt;Embedded",U$10:U$181)</f>
        <v>33753563.235120006</v>
      </c>
      <c r="V6" s="59">
        <f t="shared" si="10"/>
        <v>296716012.52380002</v>
      </c>
      <c r="X6" s="59">
        <f t="shared" si="10"/>
        <v>300485699.30000001</v>
      </c>
      <c r="Y6" s="59">
        <f t="shared" ref="Y6" si="11">SUMIF($C$10:$C$181,"&lt;&gt;Embedded",Y$10:Y$181)</f>
        <v>2879359.1199999931</v>
      </c>
      <c r="Z6" s="61" t="b">
        <f>ABS(X6-(N6+U6+V6))&lt;0.1</f>
        <v>1</v>
      </c>
      <c r="AD6" s="59">
        <f t="shared" ref="AD6" si="12">SUMIF($C$10:$C$181,"&lt;&gt;Embedded",AD$10:AD$181)</f>
        <v>33317423.099999994</v>
      </c>
      <c r="AG6" s="61" t="b">
        <f>ABS(AD6-SUM(AH6:AJ6))&lt;0.1</f>
        <v>1</v>
      </c>
      <c r="AH6" s="59">
        <f t="shared" ref="AH6:AP6" si="13">SUMIF($C$10:$C$181,"&lt;&gt;Embedded",AH$10:AH$181)</f>
        <v>33314474.21524033</v>
      </c>
      <c r="AI6" s="59">
        <f t="shared" si="13"/>
        <v>311.81864666666763</v>
      </c>
      <c r="AJ6" s="59">
        <f t="shared" si="13"/>
        <v>2637.069254666666</v>
      </c>
      <c r="AK6" s="59">
        <f t="shared" si="13"/>
        <v>4390594.9500000011</v>
      </c>
      <c r="AL6" s="59">
        <f t="shared" si="13"/>
        <v>40587377.169999972</v>
      </c>
      <c r="AM6" s="59">
        <f t="shared" si="13"/>
        <v>297606340.17999995</v>
      </c>
      <c r="AN6" s="59">
        <f t="shared" si="13"/>
        <v>338193717.3499999</v>
      </c>
      <c r="AO6" s="59">
        <f t="shared" si="13"/>
        <v>24503541.103989657</v>
      </c>
      <c r="AP6" s="59">
        <f t="shared" si="13"/>
        <v>8810933.1112506688</v>
      </c>
      <c r="AQ6" s="60" t="b">
        <f>ABS((AP6+AO6)-AH6)&lt;0.1</f>
        <v>1</v>
      </c>
    </row>
    <row r="7" spans="1:43" x14ac:dyDescent="0.25">
      <c r="A7" s="70" t="s">
        <v>595</v>
      </c>
      <c r="B7" s="71"/>
      <c r="C7" s="68" t="b">
        <f>ABS(C5+C6-C8)&lt;0.1</f>
        <v>1</v>
      </c>
      <c r="D7" s="68" t="b">
        <f>ABS(D5+D6-D8)&lt;0.1</f>
        <v>1</v>
      </c>
      <c r="E7" s="68" t="b">
        <f>ABS(E5+E6-E8)&lt;0.1</f>
        <v>1</v>
      </c>
      <c r="F7" s="68" t="b">
        <f>ABS(F5+F6-F8)&lt;0.1</f>
        <v>1</v>
      </c>
      <c r="G7" s="68" t="b">
        <f>ABS(G5+G6-G8)&lt;0.1</f>
        <v>1</v>
      </c>
      <c r="H7" s="74">
        <f>SUM(H10:H181)</f>
        <v>68273.140000000014</v>
      </c>
      <c r="L7" s="60" t="b">
        <f>L5+L6=L8</f>
        <v>1</v>
      </c>
      <c r="M7" s="60" t="b">
        <f t="shared" ref="M7:N7" si="14">M5+M6=M8</f>
        <v>1</v>
      </c>
      <c r="N7" s="60" t="b">
        <f t="shared" si="14"/>
        <v>1</v>
      </c>
      <c r="U7" s="60" t="b">
        <f t="shared" ref="U7:X7" si="15">U5+U6=U8</f>
        <v>1</v>
      </c>
      <c r="V7" s="60" t="b">
        <f t="shared" si="15"/>
        <v>1</v>
      </c>
      <c r="X7" s="60" t="b">
        <f t="shared" si="15"/>
        <v>1</v>
      </c>
      <c r="Y7" s="60" t="b">
        <f t="shared" ref="Y7" si="16">Y5+Y6=Y8</f>
        <v>1</v>
      </c>
      <c r="AD7" s="60" t="b">
        <f t="shared" ref="AD7" si="17">AD5+AD6=AD8</f>
        <v>1</v>
      </c>
      <c r="AH7" s="60" t="b">
        <f t="shared" ref="AH7:AJ7" si="18">AH5+AH6=AH8</f>
        <v>1</v>
      </c>
      <c r="AI7" s="60" t="b">
        <f t="shared" ref="AI7" si="19">AI5+AI6=AI8</f>
        <v>1</v>
      </c>
      <c r="AJ7" s="60" t="b">
        <f t="shared" si="18"/>
        <v>1</v>
      </c>
      <c r="AK7" s="60" t="b">
        <f t="shared" ref="AK7" si="20">AK5+AK6=AK8</f>
        <v>1</v>
      </c>
      <c r="AL7" s="60" t="b">
        <f t="shared" ref="AL7" si="21">AL5+AL6=AL8</f>
        <v>1</v>
      </c>
      <c r="AM7" s="60" t="b">
        <f t="shared" ref="AM7:AN7" si="22">AM5+AM6=AM8</f>
        <v>1</v>
      </c>
      <c r="AN7" s="60" t="b">
        <f t="shared" si="22"/>
        <v>1</v>
      </c>
      <c r="AO7" s="60" t="b">
        <f t="shared" ref="AO7" si="23">AO5+AO6=AO8</f>
        <v>1</v>
      </c>
      <c r="AP7" s="60" t="b">
        <f>ABS(AP5+AP6-AP8)&lt;0.1</f>
        <v>1</v>
      </c>
      <c r="AQ7" s="59"/>
    </row>
    <row r="8" spans="1:43" x14ac:dyDescent="0.25">
      <c r="A8" s="70" t="s">
        <v>594</v>
      </c>
      <c r="B8" s="72"/>
      <c r="C8" s="66">
        <f>N8+AH8</f>
        <v>-4915996.9781921357</v>
      </c>
      <c r="D8" s="66">
        <f>U8+AI8</f>
        <v>33753875.053766675</v>
      </c>
      <c r="E8" s="66">
        <f t="shared" si="5"/>
        <v>296718649.59305471</v>
      </c>
      <c r="F8" s="66">
        <f t="shared" si="6"/>
        <v>5954931.3100000015</v>
      </c>
      <c r="G8" s="66">
        <f t="shared" si="7"/>
        <v>331511458.97862923</v>
      </c>
      <c r="H8" s="3" t="b">
        <f t="shared" si="8"/>
        <v>1</v>
      </c>
      <c r="L8" s="55">
        <f>SUM(L10:L181)</f>
        <v>-331066355.46530014</v>
      </c>
      <c r="M8" s="55">
        <f>SUM(M10:M181)</f>
        <v>291378636.27700245</v>
      </c>
      <c r="N8" s="55">
        <f>SUM(N10:N181)</f>
        <v>-39687719.1882976</v>
      </c>
      <c r="U8" s="55">
        <f>SUM(U10:U181)</f>
        <v>33753563.235120006</v>
      </c>
      <c r="V8" s="55">
        <f>SUM(V10:V181)</f>
        <v>296716012.52380002</v>
      </c>
      <c r="X8" s="55">
        <f>SUM(X10:X181)</f>
        <v>290781856.56999999</v>
      </c>
      <c r="Y8" s="56">
        <f t="shared" ref="Y8" si="24">SUM(Y10:Y181)</f>
        <v>2206871.4599999911</v>
      </c>
      <c r="Z8" s="61" t="b">
        <f>ABS(X8-(N8+U8+V8))&lt;0.1</f>
        <v>1</v>
      </c>
      <c r="AA8" s="1"/>
      <c r="AB8" s="1"/>
      <c r="AC8" s="1"/>
      <c r="AD8" s="56">
        <f t="shared" ref="AD8:AK8" si="25">SUM(AD10:AD181)</f>
        <v>34774671.099999994</v>
      </c>
      <c r="AG8" s="61" t="b">
        <f>ABS(AD8-SUM(AH8:AJ8))&lt;0.1</f>
        <v>1</v>
      </c>
      <c r="AH8" s="57">
        <f t="shared" si="25"/>
        <v>34771722.210105464</v>
      </c>
      <c r="AI8" s="57">
        <f t="shared" ref="AI8" si="26">SUM(AI10:AI181)</f>
        <v>311.81864666666763</v>
      </c>
      <c r="AJ8" s="57">
        <f t="shared" si="25"/>
        <v>2637.069254666666</v>
      </c>
      <c r="AK8" s="56">
        <f t="shared" si="25"/>
        <v>5954931.3100000015</v>
      </c>
      <c r="AL8" s="56">
        <f>SUM(AL10:AL181)</f>
        <v>42936473.869999975</v>
      </c>
      <c r="AM8" s="56">
        <f>SUM(AM10:AM181)</f>
        <v>288574985.10999995</v>
      </c>
      <c r="AN8" s="56">
        <f>SUM(AN10:AN181)</f>
        <v>331511458.9799999</v>
      </c>
      <c r="AO8" s="56">
        <f t="shared" ref="AO8:AP8" si="27">SUM(AO10:AO181)</f>
        <v>25487801.66609633</v>
      </c>
      <c r="AP8" s="56">
        <f t="shared" si="27"/>
        <v>9283920.5440091323</v>
      </c>
      <c r="AQ8" s="60" t="b">
        <f>ABS((AP8+AO8)-AH8)&lt;0.1</f>
        <v>1</v>
      </c>
    </row>
    <row r="9" spans="1:43" ht="67.5" x14ac:dyDescent="0.25">
      <c r="A9" s="48" t="s">
        <v>585</v>
      </c>
      <c r="B9" s="50" t="s">
        <v>296</v>
      </c>
      <c r="C9" s="50" t="s">
        <v>297</v>
      </c>
      <c r="D9" s="50" t="s">
        <v>298</v>
      </c>
      <c r="E9" s="50" t="s">
        <v>299</v>
      </c>
      <c r="F9" s="50" t="s">
        <v>300</v>
      </c>
      <c r="G9" s="51" t="s">
        <v>301</v>
      </c>
      <c r="H9" s="51" t="s">
        <v>302</v>
      </c>
      <c r="I9" s="50" t="s">
        <v>303</v>
      </c>
      <c r="J9" s="50" t="s">
        <v>13</v>
      </c>
      <c r="K9" s="50" t="s">
        <v>304</v>
      </c>
      <c r="L9" s="49" t="s">
        <v>586</v>
      </c>
      <c r="M9" s="49" t="s">
        <v>587</v>
      </c>
      <c r="N9" s="49" t="s">
        <v>588</v>
      </c>
      <c r="O9" s="50" t="s">
        <v>305</v>
      </c>
      <c r="P9" s="50" t="s">
        <v>306</v>
      </c>
      <c r="Q9" s="49" t="s">
        <v>558</v>
      </c>
      <c r="R9" s="49" t="s">
        <v>559</v>
      </c>
      <c r="S9" s="49" t="s">
        <v>556</v>
      </c>
      <c r="T9" s="49" t="s">
        <v>557</v>
      </c>
      <c r="U9" s="49" t="s">
        <v>589</v>
      </c>
      <c r="V9" s="49" t="s">
        <v>590</v>
      </c>
      <c r="W9" s="52" t="s">
        <v>307</v>
      </c>
      <c r="X9" s="50" t="s">
        <v>308</v>
      </c>
      <c r="Y9" s="50" t="s">
        <v>309</v>
      </c>
      <c r="Z9" s="50" t="s">
        <v>310</v>
      </c>
      <c r="AA9" s="50" t="s">
        <v>311</v>
      </c>
      <c r="AB9" s="50" t="s">
        <v>312</v>
      </c>
      <c r="AC9" s="50" t="s">
        <v>313</v>
      </c>
      <c r="AD9" s="50" t="s">
        <v>314</v>
      </c>
      <c r="AE9" s="49" t="s">
        <v>593</v>
      </c>
      <c r="AF9" s="49" t="s">
        <v>600</v>
      </c>
      <c r="AG9" s="49" t="s">
        <v>601</v>
      </c>
      <c r="AH9" s="49" t="s">
        <v>592</v>
      </c>
      <c r="AI9" s="49" t="s">
        <v>602</v>
      </c>
      <c r="AJ9" s="49" t="s">
        <v>603</v>
      </c>
      <c r="AK9" s="50" t="s">
        <v>315</v>
      </c>
      <c r="AL9" s="50" t="s">
        <v>316</v>
      </c>
      <c r="AM9" s="50" t="s">
        <v>605</v>
      </c>
      <c r="AN9" s="63" t="s">
        <v>606</v>
      </c>
      <c r="AO9" s="49" t="s">
        <v>615</v>
      </c>
      <c r="AP9" s="49" t="s">
        <v>616</v>
      </c>
    </row>
    <row r="10" spans="1:43" x14ac:dyDescent="0.25">
      <c r="B10" s="31" t="s">
        <v>317</v>
      </c>
      <c r="C10" s="32" t="s">
        <v>318</v>
      </c>
      <c r="D10" s="32" t="s">
        <v>319</v>
      </c>
      <c r="E10" s="32">
        <v>1</v>
      </c>
      <c r="F10" s="32" t="s">
        <v>320</v>
      </c>
      <c r="G10" s="33">
        <v>0.47138400000000003</v>
      </c>
      <c r="H10" s="34">
        <v>95.5</v>
      </c>
      <c r="I10" s="35" t="s">
        <v>321</v>
      </c>
      <c r="J10" s="36">
        <v>-4.849145</v>
      </c>
      <c r="K10" s="36">
        <v>8.4599309999999992</v>
      </c>
      <c r="L10" s="53">
        <f>$H10*J10*1000</f>
        <v>-463093.34749999997</v>
      </c>
      <c r="M10" s="53">
        <f>$H10*(K10-J10)*1000</f>
        <v>1271016.7579999999</v>
      </c>
      <c r="N10" s="53">
        <f>L10+M10</f>
        <v>807923.4105</v>
      </c>
      <c r="O10" s="36">
        <v>2.6385740000000002</v>
      </c>
      <c r="P10" s="36">
        <v>0.203179</v>
      </c>
      <c r="Q10" s="36">
        <f>O10-S10</f>
        <v>2.6385740000000002</v>
      </c>
      <c r="R10" s="36">
        <f>P10-T10</f>
        <v>0.203179</v>
      </c>
      <c r="S10" s="46">
        <v>0</v>
      </c>
      <c r="T10" s="46">
        <v>0</v>
      </c>
      <c r="U10" s="53">
        <f>$H10*(Q10+R10)*1000</f>
        <v>271387.41150000005</v>
      </c>
      <c r="V10" s="53">
        <f>$H10*(S10+T10)*1000</f>
        <v>0</v>
      </c>
      <c r="W10" s="36">
        <v>11.301684</v>
      </c>
      <c r="X10" s="37">
        <v>1079310.82</v>
      </c>
      <c r="Y10" s="37">
        <v>0</v>
      </c>
      <c r="Z10" s="38">
        <v>0</v>
      </c>
      <c r="AA10" s="39">
        <v>0</v>
      </c>
      <c r="AB10" s="40">
        <v>0</v>
      </c>
      <c r="AC10" s="41">
        <v>0</v>
      </c>
      <c r="AD10" s="41">
        <v>0</v>
      </c>
      <c r="AE10" s="58">
        <f>IF(K10&lt;0,K10,0)</f>
        <v>0</v>
      </c>
      <c r="AF10" s="58">
        <f>IF(O10&lt;0,O10,0)</f>
        <v>0</v>
      </c>
      <c r="AG10" s="58">
        <f>IF(P10&lt;0,P10,0)</f>
        <v>0</v>
      </c>
      <c r="AH10" s="41">
        <f>IF(AE10=0,0,(H10-AB10)*AE10*-1000)</f>
        <v>0</v>
      </c>
      <c r="AI10" s="41">
        <f>IF(AF10=0,0,(H10-AB10)*AF10*-1000)</f>
        <v>0</v>
      </c>
      <c r="AJ10" s="41">
        <f>IF(AG10=0,0,(H10-AB10)*AG10*-1000)</f>
        <v>0</v>
      </c>
      <c r="AK10" s="42">
        <v>0</v>
      </c>
      <c r="AL10" s="41">
        <v>0</v>
      </c>
      <c r="AM10" s="41">
        <v>1079310.8200000003</v>
      </c>
      <c r="AN10" s="64">
        <f>AM10+AL10</f>
        <v>1079310.8200000003</v>
      </c>
      <c r="AO10" s="73">
        <f>IF(AE10&lt;=J10,J10*(H10-AB10)*-1000,IF(AND(AE10&lt;=0,AE10&gt;J10),AE10*(H10-AB10)*-1000,0))</f>
        <v>0</v>
      </c>
      <c r="AP10" s="73">
        <f>IF(AE10&lt;=J10,(AE10-J10)*(H10-AB10)*-1000,0)</f>
        <v>0</v>
      </c>
    </row>
    <row r="11" spans="1:43" x14ac:dyDescent="0.25">
      <c r="B11" s="43" t="s">
        <v>322</v>
      </c>
      <c r="C11" s="32" t="s">
        <v>323</v>
      </c>
      <c r="D11" s="32" t="s">
        <v>324</v>
      </c>
      <c r="E11" s="32">
        <v>21</v>
      </c>
      <c r="F11" s="32" t="s">
        <v>325</v>
      </c>
      <c r="G11" s="33">
        <v>0.36723</v>
      </c>
      <c r="H11" s="34">
        <v>50</v>
      </c>
      <c r="I11" s="35" t="s">
        <v>326</v>
      </c>
      <c r="J11" s="36">
        <v>-4.849145</v>
      </c>
      <c r="K11" s="36">
        <v>-0.81906900000000071</v>
      </c>
      <c r="L11" s="53">
        <f t="shared" ref="L11:L74" si="28">$H11*J11*1000</f>
        <v>-242457.25</v>
      </c>
      <c r="M11" s="53">
        <f t="shared" ref="M11:M74" si="29">$H11*(K11-J11)*1000</f>
        <v>201503.79999999996</v>
      </c>
      <c r="N11" s="53">
        <f t="shared" ref="N11:N74" si="30">L11+M11</f>
        <v>-40953.450000000041</v>
      </c>
      <c r="O11" s="36">
        <v>0</v>
      </c>
      <c r="P11" s="36">
        <v>0.27692499999999998</v>
      </c>
      <c r="Q11" s="36">
        <f t="shared" ref="Q11:Q74" si="31">O11-S11</f>
        <v>0</v>
      </c>
      <c r="R11" s="36">
        <f t="shared" ref="R11:R74" si="32">P11-T11</f>
        <v>0.27692499999999998</v>
      </c>
      <c r="S11" s="36">
        <f>IF(C11&lt;&gt;"Offshore",0,IFERROR(VLOOKUP(D11,'Local Tariffs'!$A$4:$B$98,2,0),VLOOKUP(A11,'Local Tariffs'!$A$4:$B$98,2,0)))</f>
        <v>0</v>
      </c>
      <c r="T11" s="36">
        <f>IF(C11&lt;&gt;"Offshore",0,VLOOKUP(I11,'Local Tariffs'!$E$4:$F$38,2,0))</f>
        <v>0</v>
      </c>
      <c r="U11" s="53">
        <f t="shared" ref="U11:U74" si="33">$H11*(Q11+R11)*1000</f>
        <v>13846.25</v>
      </c>
      <c r="V11" s="53">
        <f t="shared" ref="V11:V74" si="34">$H11*(S11+T11)*1000</f>
        <v>0</v>
      </c>
      <c r="W11" s="36">
        <v>-0.54214400000000074</v>
      </c>
      <c r="X11" s="37">
        <v>-27107.200000000001</v>
      </c>
      <c r="Y11" s="37">
        <v>-1.9999999982246663E-2</v>
      </c>
      <c r="Z11" s="38">
        <v>-0.81906900000000071</v>
      </c>
      <c r="AA11" s="39">
        <v>-40953.449999999997</v>
      </c>
      <c r="AB11" s="40">
        <v>0</v>
      </c>
      <c r="AC11" s="41">
        <v>0</v>
      </c>
      <c r="AD11" s="41">
        <v>40953.449999999997</v>
      </c>
      <c r="AE11" s="58">
        <f t="shared" ref="AE11:AE74" si="35">IF(K11&lt;0,K11,0)</f>
        <v>-0.81906900000000071</v>
      </c>
      <c r="AF11" s="58">
        <f t="shared" ref="AF11:AF74" si="36">IF(O11&lt;0,O11,0)</f>
        <v>0</v>
      </c>
      <c r="AG11" s="58">
        <f t="shared" ref="AG11:AG74" si="37">IF(P11&lt;0,P11,0)</f>
        <v>0</v>
      </c>
      <c r="AH11" s="41">
        <f t="shared" ref="AH11:AH74" si="38">IF(AE11=0,0,(H11-AB11)*AE11*-1000)</f>
        <v>40953.450000000033</v>
      </c>
      <c r="AI11" s="41">
        <f t="shared" ref="AI11:AI74" si="39">IF(AF11=0,0,(H11-AB11)*AF11*-1000)</f>
        <v>0</v>
      </c>
      <c r="AJ11" s="41">
        <f t="shared" ref="AJ11:AJ74" si="40">IF(AG11=0,0,(H11-AB11)*AG11*-1000)</f>
        <v>0</v>
      </c>
      <c r="AK11" s="42">
        <v>0</v>
      </c>
      <c r="AL11" s="41">
        <v>40953.430000000015</v>
      </c>
      <c r="AM11" s="41">
        <v>-27107.180000000018</v>
      </c>
      <c r="AN11" s="64">
        <f t="shared" ref="AN11:AN74" si="41">AM11+AL11</f>
        <v>13846.249999999996</v>
      </c>
      <c r="AO11" s="73">
        <f t="shared" ref="AO11:AO74" si="42">IF(AE11&lt;=J11,J11*(H11-AB11)*-1000,IF(AND(AE11&lt;=0,AE11&gt;J11),AE11*(H11-AB11)*-1000,0))</f>
        <v>40953.450000000033</v>
      </c>
      <c r="AP11" s="73">
        <f t="shared" ref="AP11:AP74" si="43">IF(AE11&lt;=J11,(AE11-J11)*(H11-AB11)*-1000,0)</f>
        <v>0</v>
      </c>
    </row>
    <row r="12" spans="1:43" x14ac:dyDescent="0.25">
      <c r="B12" s="44" t="s">
        <v>327</v>
      </c>
      <c r="C12" s="32" t="s">
        <v>323</v>
      </c>
      <c r="D12" s="32" t="s">
        <v>327</v>
      </c>
      <c r="E12" s="32">
        <v>7</v>
      </c>
      <c r="F12" s="32" t="s">
        <v>328</v>
      </c>
      <c r="G12" s="33">
        <v>0.41087000000000001</v>
      </c>
      <c r="H12" s="34">
        <v>43</v>
      </c>
      <c r="I12" s="35" t="s">
        <v>321</v>
      </c>
      <c r="J12" s="36">
        <v>-4.849145</v>
      </c>
      <c r="K12" s="36">
        <v>13.289698</v>
      </c>
      <c r="L12" s="53">
        <f t="shared" si="28"/>
        <v>-208513.23500000002</v>
      </c>
      <c r="M12" s="53">
        <f t="shared" si="29"/>
        <v>779970.24900000007</v>
      </c>
      <c r="N12" s="53">
        <f t="shared" si="30"/>
        <v>571457.01400000008</v>
      </c>
      <c r="O12" s="36">
        <v>4.345091</v>
      </c>
      <c r="P12" s="36">
        <v>0.203179</v>
      </c>
      <c r="Q12" s="36">
        <f t="shared" si="31"/>
        <v>4.345091</v>
      </c>
      <c r="R12" s="36">
        <f t="shared" si="32"/>
        <v>0.203179</v>
      </c>
      <c r="S12" s="36">
        <f>IF(C12&lt;&gt;"Offshore",0,IFERROR(VLOOKUP(D12,'Local Tariffs'!$A$4:$B$98,2,0),VLOOKUP(A12,'Local Tariffs'!$A$4:$B$98,2,0)))</f>
        <v>0</v>
      </c>
      <c r="T12" s="36">
        <f>IF(C12&lt;&gt;"Offshore",0,VLOOKUP(I12,'Local Tariffs'!$E$4:$F$38,2,0))</f>
        <v>0</v>
      </c>
      <c r="U12" s="53">
        <f t="shared" si="33"/>
        <v>195575.61000000002</v>
      </c>
      <c r="V12" s="53">
        <f t="shared" si="34"/>
        <v>0</v>
      </c>
      <c r="W12" s="36">
        <v>17.837967999999996</v>
      </c>
      <c r="X12" s="37">
        <v>767032.62</v>
      </c>
      <c r="Y12" s="37">
        <v>0</v>
      </c>
      <c r="Z12" s="38">
        <v>0</v>
      </c>
      <c r="AA12" s="39">
        <v>0</v>
      </c>
      <c r="AB12" s="40">
        <v>0</v>
      </c>
      <c r="AC12" s="41">
        <v>0</v>
      </c>
      <c r="AD12" s="41">
        <v>0</v>
      </c>
      <c r="AE12" s="58">
        <f t="shared" si="35"/>
        <v>0</v>
      </c>
      <c r="AF12" s="58">
        <f t="shared" si="36"/>
        <v>0</v>
      </c>
      <c r="AG12" s="58">
        <f t="shared" si="37"/>
        <v>0</v>
      </c>
      <c r="AH12" s="41">
        <f t="shared" si="38"/>
        <v>0</v>
      </c>
      <c r="AI12" s="41">
        <f t="shared" si="39"/>
        <v>0</v>
      </c>
      <c r="AJ12" s="41">
        <f t="shared" si="40"/>
        <v>0</v>
      </c>
      <c r="AK12" s="42">
        <v>0</v>
      </c>
      <c r="AL12" s="41">
        <v>0</v>
      </c>
      <c r="AM12" s="41">
        <v>767032.62</v>
      </c>
      <c r="AN12" s="64">
        <f t="shared" si="41"/>
        <v>767032.62</v>
      </c>
      <c r="AO12" s="73">
        <f t="shared" si="42"/>
        <v>0</v>
      </c>
      <c r="AP12" s="73">
        <f t="shared" si="43"/>
        <v>0</v>
      </c>
    </row>
    <row r="13" spans="1:43" x14ac:dyDescent="0.25">
      <c r="B13" s="44" t="s">
        <v>329</v>
      </c>
      <c r="C13" s="32" t="s">
        <v>323</v>
      </c>
      <c r="D13" s="32" t="s">
        <v>330</v>
      </c>
      <c r="E13" s="32">
        <v>10</v>
      </c>
      <c r="F13" s="32" t="s">
        <v>328</v>
      </c>
      <c r="G13" s="33">
        <v>0.35970400000000002</v>
      </c>
      <c r="H13" s="34">
        <v>50</v>
      </c>
      <c r="I13" s="35" t="s">
        <v>331</v>
      </c>
      <c r="J13" s="36">
        <v>-4.849145</v>
      </c>
      <c r="K13" s="36">
        <v>-0.42431400000000075</v>
      </c>
      <c r="L13" s="53">
        <f t="shared" si="28"/>
        <v>-242457.25</v>
      </c>
      <c r="M13" s="53">
        <f t="shared" si="29"/>
        <v>221241.54999999996</v>
      </c>
      <c r="N13" s="53">
        <f t="shared" si="30"/>
        <v>-21215.700000000041</v>
      </c>
      <c r="O13" s="36">
        <v>1.571596</v>
      </c>
      <c r="P13" s="36">
        <v>0.44758700000000001</v>
      </c>
      <c r="Q13" s="36">
        <f t="shared" si="31"/>
        <v>1.571596</v>
      </c>
      <c r="R13" s="36">
        <f t="shared" si="32"/>
        <v>0.44758700000000001</v>
      </c>
      <c r="S13" s="36">
        <f>IF(C13&lt;&gt;"Offshore",0,IFERROR(VLOOKUP(D13,'Local Tariffs'!$A$4:$B$98,2,0),VLOOKUP(A13,'Local Tariffs'!$A$4:$B$98,2,0)))</f>
        <v>0</v>
      </c>
      <c r="T13" s="36">
        <f>IF(C13&lt;&gt;"Offshore",0,VLOOKUP(I13,'Local Tariffs'!$E$4:$F$38,2,0))</f>
        <v>0</v>
      </c>
      <c r="U13" s="53">
        <f t="shared" si="33"/>
        <v>100959.15</v>
      </c>
      <c r="V13" s="53">
        <f t="shared" si="34"/>
        <v>0</v>
      </c>
      <c r="W13" s="36">
        <v>1.5948689999999992</v>
      </c>
      <c r="X13" s="37">
        <v>79743.45</v>
      </c>
      <c r="Y13" s="37">
        <v>-1.9999999989522621E-2</v>
      </c>
      <c r="Z13" s="38">
        <v>-0.42431400000000075</v>
      </c>
      <c r="AA13" s="39">
        <v>-21215.7</v>
      </c>
      <c r="AB13" s="40">
        <v>48.345333333333336</v>
      </c>
      <c r="AC13" s="41">
        <v>-20513.599999999999</v>
      </c>
      <c r="AD13" s="41">
        <v>702.10000000000218</v>
      </c>
      <c r="AE13" s="58">
        <f t="shared" si="35"/>
        <v>-0.42431400000000075</v>
      </c>
      <c r="AF13" s="58">
        <f t="shared" si="36"/>
        <v>0</v>
      </c>
      <c r="AG13" s="58">
        <f t="shared" si="37"/>
        <v>0</v>
      </c>
      <c r="AH13" s="41">
        <f t="shared" si="38"/>
        <v>702.09823199999994</v>
      </c>
      <c r="AI13" s="41">
        <f t="shared" si="39"/>
        <v>0</v>
      </c>
      <c r="AJ13" s="41">
        <f t="shared" si="40"/>
        <v>0</v>
      </c>
      <c r="AK13" s="42">
        <v>1227.1099999999999</v>
      </c>
      <c r="AL13" s="41">
        <v>1929.1900000000126</v>
      </c>
      <c r="AM13" s="41">
        <v>79743.469999999987</v>
      </c>
      <c r="AN13" s="64">
        <f t="shared" si="41"/>
        <v>81672.66</v>
      </c>
      <c r="AO13" s="73">
        <f t="shared" si="42"/>
        <v>702.09823199999994</v>
      </c>
      <c r="AP13" s="73">
        <f t="shared" si="43"/>
        <v>0</v>
      </c>
    </row>
    <row r="14" spans="1:43" x14ac:dyDescent="0.25">
      <c r="B14" s="44" t="s">
        <v>332</v>
      </c>
      <c r="C14" s="32" t="s">
        <v>323</v>
      </c>
      <c r="D14" s="32" t="s">
        <v>332</v>
      </c>
      <c r="E14" s="32">
        <v>1</v>
      </c>
      <c r="F14" s="32" t="s">
        <v>333</v>
      </c>
      <c r="G14" s="33">
        <v>0.33334599999999998</v>
      </c>
      <c r="H14" s="34">
        <v>20</v>
      </c>
      <c r="I14" s="35" t="s">
        <v>321</v>
      </c>
      <c r="J14" s="36">
        <v>-4.849145</v>
      </c>
      <c r="K14" s="36">
        <v>8.3344609999999992</v>
      </c>
      <c r="L14" s="53">
        <f t="shared" si="28"/>
        <v>-96982.9</v>
      </c>
      <c r="M14" s="53">
        <f t="shared" si="29"/>
        <v>263672.12</v>
      </c>
      <c r="N14" s="53">
        <f t="shared" si="30"/>
        <v>166689.22</v>
      </c>
      <c r="O14" s="36">
        <v>0.66186199999999995</v>
      </c>
      <c r="P14" s="36">
        <v>0.203179</v>
      </c>
      <c r="Q14" s="36">
        <f t="shared" si="31"/>
        <v>0.66186199999999995</v>
      </c>
      <c r="R14" s="36">
        <f t="shared" si="32"/>
        <v>0.203179</v>
      </c>
      <c r="S14" s="36">
        <f>IF(C14&lt;&gt;"Offshore",0,IFERROR(VLOOKUP(D14,'Local Tariffs'!$A$4:$B$98,2,0),VLOOKUP(A14,'Local Tariffs'!$A$4:$B$98,2,0)))</f>
        <v>0</v>
      </c>
      <c r="T14" s="36">
        <f>IF(C14&lt;&gt;"Offshore",0,VLOOKUP(I14,'Local Tariffs'!$E$4:$F$38,2,0))</f>
        <v>0</v>
      </c>
      <c r="U14" s="53">
        <f t="shared" si="33"/>
        <v>17300.82</v>
      </c>
      <c r="V14" s="53">
        <f t="shared" si="34"/>
        <v>0</v>
      </c>
      <c r="W14" s="36">
        <v>9.199501999999999</v>
      </c>
      <c r="X14" s="37">
        <v>183990.04</v>
      </c>
      <c r="Y14" s="37">
        <v>-1.0000000009313226E-2</v>
      </c>
      <c r="Z14" s="38">
        <v>0</v>
      </c>
      <c r="AA14" s="39">
        <v>0</v>
      </c>
      <c r="AB14" s="40">
        <v>0</v>
      </c>
      <c r="AC14" s="41">
        <v>0</v>
      </c>
      <c r="AD14" s="41">
        <v>0</v>
      </c>
      <c r="AE14" s="58">
        <f t="shared" si="35"/>
        <v>0</v>
      </c>
      <c r="AF14" s="58">
        <f t="shared" si="36"/>
        <v>0</v>
      </c>
      <c r="AG14" s="58">
        <f t="shared" si="37"/>
        <v>0</v>
      </c>
      <c r="AH14" s="41">
        <f t="shared" si="38"/>
        <v>0</v>
      </c>
      <c r="AI14" s="41">
        <f t="shared" si="39"/>
        <v>0</v>
      </c>
      <c r="AJ14" s="41">
        <f t="shared" si="40"/>
        <v>0</v>
      </c>
      <c r="AK14" s="42">
        <v>0</v>
      </c>
      <c r="AL14" s="41">
        <v>-1.0000000009313226E-2</v>
      </c>
      <c r="AM14" s="41">
        <v>183990.05000000002</v>
      </c>
      <c r="AN14" s="64">
        <f t="shared" si="41"/>
        <v>183990.04</v>
      </c>
      <c r="AO14" s="73">
        <f t="shared" si="42"/>
        <v>0</v>
      </c>
      <c r="AP14" s="73">
        <f t="shared" si="43"/>
        <v>0</v>
      </c>
    </row>
    <row r="15" spans="1:43" x14ac:dyDescent="0.25">
      <c r="B15" s="44" t="s">
        <v>334</v>
      </c>
      <c r="C15" s="32" t="s">
        <v>323</v>
      </c>
      <c r="D15" s="32" t="s">
        <v>335</v>
      </c>
      <c r="E15" s="32">
        <v>11</v>
      </c>
      <c r="F15" s="32" t="s">
        <v>328</v>
      </c>
      <c r="G15" s="33">
        <v>0.30540099999999998</v>
      </c>
      <c r="H15" s="34">
        <v>140</v>
      </c>
      <c r="I15" s="35" t="s">
        <v>321</v>
      </c>
      <c r="J15" s="36">
        <v>-4.849145</v>
      </c>
      <c r="K15" s="36">
        <v>4.8717769999999998</v>
      </c>
      <c r="L15" s="53">
        <f t="shared" si="28"/>
        <v>-678880.3</v>
      </c>
      <c r="M15" s="53">
        <f t="shared" si="29"/>
        <v>1360929.0799999998</v>
      </c>
      <c r="N15" s="53">
        <f t="shared" si="30"/>
        <v>682048.7799999998</v>
      </c>
      <c r="O15" s="36">
        <v>0.481568</v>
      </c>
      <c r="P15" s="36">
        <v>0.203179</v>
      </c>
      <c r="Q15" s="36">
        <f t="shared" si="31"/>
        <v>0.481568</v>
      </c>
      <c r="R15" s="36">
        <f t="shared" si="32"/>
        <v>0.203179</v>
      </c>
      <c r="S15" s="36">
        <f>IF(C15&lt;&gt;"Offshore",0,IFERROR(VLOOKUP(D15,'Local Tariffs'!$A$4:$B$98,2,0),VLOOKUP(A15,'Local Tariffs'!$A$4:$B$98,2,0)))</f>
        <v>0</v>
      </c>
      <c r="T15" s="36">
        <f>IF(C15&lt;&gt;"Offshore",0,VLOOKUP(I15,'Local Tariffs'!$E$4:$F$38,2,0))</f>
        <v>0</v>
      </c>
      <c r="U15" s="53">
        <f t="shared" si="33"/>
        <v>95864.58</v>
      </c>
      <c r="V15" s="53">
        <f t="shared" si="34"/>
        <v>0</v>
      </c>
      <c r="W15" s="36">
        <v>5.5565239999999996</v>
      </c>
      <c r="X15" s="37">
        <v>777913.36</v>
      </c>
      <c r="Y15" s="37">
        <v>-7.000000006519258E-2</v>
      </c>
      <c r="Z15" s="38">
        <v>0</v>
      </c>
      <c r="AA15" s="39">
        <v>0</v>
      </c>
      <c r="AB15" s="40">
        <v>0</v>
      </c>
      <c r="AC15" s="41">
        <v>0</v>
      </c>
      <c r="AD15" s="41">
        <v>0</v>
      </c>
      <c r="AE15" s="58">
        <f t="shared" si="35"/>
        <v>0</v>
      </c>
      <c r="AF15" s="58">
        <f t="shared" si="36"/>
        <v>0</v>
      </c>
      <c r="AG15" s="58">
        <f t="shared" si="37"/>
        <v>0</v>
      </c>
      <c r="AH15" s="41">
        <f t="shared" si="38"/>
        <v>0</v>
      </c>
      <c r="AI15" s="41">
        <f t="shared" si="39"/>
        <v>0</v>
      </c>
      <c r="AJ15" s="41">
        <f t="shared" si="40"/>
        <v>0</v>
      </c>
      <c r="AK15" s="42">
        <v>0</v>
      </c>
      <c r="AL15" s="41">
        <v>-7.000000006519258E-2</v>
      </c>
      <c r="AM15" s="41">
        <v>777913.43</v>
      </c>
      <c r="AN15" s="64">
        <f t="shared" si="41"/>
        <v>777913.36</v>
      </c>
      <c r="AO15" s="73">
        <f t="shared" si="42"/>
        <v>0</v>
      </c>
      <c r="AP15" s="73">
        <f t="shared" si="43"/>
        <v>0</v>
      </c>
    </row>
    <row r="16" spans="1:43" x14ac:dyDescent="0.25">
      <c r="B16" s="44" t="s">
        <v>336</v>
      </c>
      <c r="C16" s="32" t="s">
        <v>323</v>
      </c>
      <c r="D16" s="32" t="s">
        <v>336</v>
      </c>
      <c r="E16" s="32">
        <v>7</v>
      </c>
      <c r="F16" s="32" t="s">
        <v>328</v>
      </c>
      <c r="G16" s="33">
        <v>0.36242200000000002</v>
      </c>
      <c r="H16" s="34">
        <v>19.3</v>
      </c>
      <c r="I16" s="35" t="s">
        <v>321</v>
      </c>
      <c r="J16" s="36">
        <v>-4.849145</v>
      </c>
      <c r="K16" s="36">
        <v>12.619034000000001</v>
      </c>
      <c r="L16" s="53">
        <f t="shared" si="28"/>
        <v>-93588.498500000002</v>
      </c>
      <c r="M16" s="53">
        <f t="shared" si="29"/>
        <v>337135.85469999997</v>
      </c>
      <c r="N16" s="53">
        <f t="shared" si="30"/>
        <v>243547.35619999998</v>
      </c>
      <c r="O16" s="36">
        <v>-0.96943699999999999</v>
      </c>
      <c r="P16" s="36">
        <v>0.203179</v>
      </c>
      <c r="Q16" s="36">
        <f t="shared" si="31"/>
        <v>-0.96943699999999999</v>
      </c>
      <c r="R16" s="36">
        <f t="shared" si="32"/>
        <v>0.203179</v>
      </c>
      <c r="S16" s="36">
        <f>IF(C16&lt;&gt;"Offshore",0,IFERROR(VLOOKUP(D16,'Local Tariffs'!$A$4:$B$98,2,0),VLOOKUP(A16,'Local Tariffs'!$A$4:$B$98,2,0)))</f>
        <v>0</v>
      </c>
      <c r="T16" s="36">
        <f>IF(C16&lt;&gt;"Offshore",0,VLOOKUP(I16,'Local Tariffs'!$E$4:$F$38,2,0))</f>
        <v>0</v>
      </c>
      <c r="U16" s="53">
        <f t="shared" si="33"/>
        <v>-14788.779400000001</v>
      </c>
      <c r="V16" s="53">
        <f t="shared" si="34"/>
        <v>0</v>
      </c>
      <c r="W16" s="36">
        <v>11.852776000000002</v>
      </c>
      <c r="X16" s="37">
        <v>228758.58</v>
      </c>
      <c r="Y16" s="37">
        <v>-9.9999999802093953E-3</v>
      </c>
      <c r="Z16" s="38">
        <v>-0.96943699999999999</v>
      </c>
      <c r="AA16" s="39">
        <v>-18710.13</v>
      </c>
      <c r="AB16" s="40">
        <v>19.194666666666667</v>
      </c>
      <c r="AC16" s="41">
        <v>-18608.02</v>
      </c>
      <c r="AD16" s="41">
        <v>102.11000000000058</v>
      </c>
      <c r="AE16" s="58">
        <f t="shared" si="35"/>
        <v>0</v>
      </c>
      <c r="AF16" s="58">
        <f t="shared" si="36"/>
        <v>-0.96943699999999999</v>
      </c>
      <c r="AG16" s="58">
        <f t="shared" si="37"/>
        <v>0</v>
      </c>
      <c r="AH16" s="41">
        <f t="shared" si="38"/>
        <v>0</v>
      </c>
      <c r="AI16" s="41">
        <f t="shared" si="39"/>
        <v>102.11403066666747</v>
      </c>
      <c r="AJ16" s="41">
        <f t="shared" si="40"/>
        <v>0</v>
      </c>
      <c r="AK16" s="42">
        <v>492.96</v>
      </c>
      <c r="AL16" s="41">
        <v>595.06000000002041</v>
      </c>
      <c r="AM16" s="41">
        <v>228758.58999999997</v>
      </c>
      <c r="AN16" s="64">
        <f t="shared" si="41"/>
        <v>229353.65</v>
      </c>
      <c r="AO16" s="73">
        <f t="shared" si="42"/>
        <v>0</v>
      </c>
      <c r="AP16" s="73">
        <f t="shared" si="43"/>
        <v>0</v>
      </c>
    </row>
    <row r="17" spans="1:42" x14ac:dyDescent="0.25">
      <c r="B17" s="44" t="s">
        <v>337</v>
      </c>
      <c r="C17" s="32" t="s">
        <v>323</v>
      </c>
      <c r="D17" s="32" t="s">
        <v>337</v>
      </c>
      <c r="E17" s="32">
        <v>10</v>
      </c>
      <c r="F17" s="32" t="s">
        <v>328</v>
      </c>
      <c r="G17" s="33">
        <v>0.31861800000000001</v>
      </c>
      <c r="H17" s="34">
        <v>114</v>
      </c>
      <c r="I17" s="35" t="s">
        <v>321</v>
      </c>
      <c r="J17" s="36">
        <v>-4.849145</v>
      </c>
      <c r="K17" s="36">
        <v>10.625022999999999</v>
      </c>
      <c r="L17" s="53">
        <f t="shared" si="28"/>
        <v>-552802.53</v>
      </c>
      <c r="M17" s="53">
        <f t="shared" si="29"/>
        <v>1764055.152</v>
      </c>
      <c r="N17" s="53">
        <f t="shared" si="30"/>
        <v>1211252.622</v>
      </c>
      <c r="O17" s="36">
        <v>2.101823</v>
      </c>
      <c r="P17" s="36">
        <v>0.203179</v>
      </c>
      <c r="Q17" s="36">
        <f t="shared" si="31"/>
        <v>2.101823</v>
      </c>
      <c r="R17" s="36">
        <f t="shared" si="32"/>
        <v>0.203179</v>
      </c>
      <c r="S17" s="36">
        <f>IF(C17&lt;&gt;"Offshore",0,IFERROR(VLOOKUP(D17,'Local Tariffs'!$A$4:$B$98,2,0),VLOOKUP(A17,'Local Tariffs'!$A$4:$B$98,2,0)))</f>
        <v>0</v>
      </c>
      <c r="T17" s="36">
        <f>IF(C17&lt;&gt;"Offshore",0,VLOOKUP(I17,'Local Tariffs'!$E$4:$F$38,2,0))</f>
        <v>0</v>
      </c>
      <c r="U17" s="53">
        <f t="shared" si="33"/>
        <v>262770.228</v>
      </c>
      <c r="V17" s="53">
        <f t="shared" si="34"/>
        <v>0</v>
      </c>
      <c r="W17" s="36">
        <v>12.930024999999999</v>
      </c>
      <c r="X17" s="37">
        <v>1474022.85</v>
      </c>
      <c r="Y17" s="37">
        <v>0</v>
      </c>
      <c r="Z17" s="38">
        <v>0</v>
      </c>
      <c r="AA17" s="39">
        <v>0</v>
      </c>
      <c r="AB17" s="40">
        <v>0</v>
      </c>
      <c r="AC17" s="41">
        <v>0</v>
      </c>
      <c r="AD17" s="41">
        <v>0</v>
      </c>
      <c r="AE17" s="58">
        <f t="shared" si="35"/>
        <v>0</v>
      </c>
      <c r="AF17" s="58">
        <f t="shared" si="36"/>
        <v>0</v>
      </c>
      <c r="AG17" s="58">
        <f t="shared" si="37"/>
        <v>0</v>
      </c>
      <c r="AH17" s="41">
        <f t="shared" si="38"/>
        <v>0</v>
      </c>
      <c r="AI17" s="41">
        <f t="shared" si="39"/>
        <v>0</v>
      </c>
      <c r="AJ17" s="41">
        <f t="shared" si="40"/>
        <v>0</v>
      </c>
      <c r="AK17" s="42">
        <v>0</v>
      </c>
      <c r="AL17" s="41">
        <v>0</v>
      </c>
      <c r="AM17" s="41">
        <v>1474022.85</v>
      </c>
      <c r="AN17" s="64">
        <f t="shared" si="41"/>
        <v>1474022.85</v>
      </c>
      <c r="AO17" s="73">
        <f t="shared" si="42"/>
        <v>0</v>
      </c>
      <c r="AP17" s="73">
        <f t="shared" si="43"/>
        <v>0</v>
      </c>
    </row>
    <row r="18" spans="1:42" x14ac:dyDescent="0.25">
      <c r="B18" s="44" t="s">
        <v>338</v>
      </c>
      <c r="C18" s="32" t="s">
        <v>323</v>
      </c>
      <c r="D18" s="32" t="s">
        <v>324</v>
      </c>
      <c r="E18" s="32">
        <v>1</v>
      </c>
      <c r="F18" s="32" t="s">
        <v>328</v>
      </c>
      <c r="G18" s="33">
        <v>0.30961899999999998</v>
      </c>
      <c r="H18" s="34">
        <v>26.65</v>
      </c>
      <c r="I18" s="35" t="s">
        <v>321</v>
      </c>
      <c r="J18" s="36">
        <v>-4.849145</v>
      </c>
      <c r="K18" s="36">
        <v>5.0828300000000031</v>
      </c>
      <c r="L18" s="53">
        <f t="shared" si="28"/>
        <v>-129229.71425</v>
      </c>
      <c r="M18" s="53">
        <f t="shared" si="29"/>
        <v>264687.13375000004</v>
      </c>
      <c r="N18" s="53">
        <f t="shared" si="30"/>
        <v>135457.41950000002</v>
      </c>
      <c r="O18" s="36">
        <v>0</v>
      </c>
      <c r="P18" s="36">
        <v>0.203179</v>
      </c>
      <c r="Q18" s="36">
        <f t="shared" si="31"/>
        <v>0</v>
      </c>
      <c r="R18" s="36">
        <f t="shared" si="32"/>
        <v>0.203179</v>
      </c>
      <c r="S18" s="36">
        <f>IF(C18&lt;&gt;"Offshore",0,IFERROR(VLOOKUP(D18,'Local Tariffs'!$A$4:$B$98,2,0),VLOOKUP(A18,'Local Tariffs'!$A$4:$B$98,2,0)))</f>
        <v>0</v>
      </c>
      <c r="T18" s="36">
        <f>IF(C18&lt;&gt;"Offshore",0,VLOOKUP(I18,'Local Tariffs'!$E$4:$F$38,2,0))</f>
        <v>0</v>
      </c>
      <c r="U18" s="53">
        <f t="shared" si="33"/>
        <v>5414.7203499999996</v>
      </c>
      <c r="V18" s="53">
        <f t="shared" si="34"/>
        <v>0</v>
      </c>
      <c r="W18" s="36">
        <v>5.2860090000000035</v>
      </c>
      <c r="X18" s="37">
        <v>140872.14000000001</v>
      </c>
      <c r="Y18" s="37">
        <v>-6513.4599999999919</v>
      </c>
      <c r="Z18" s="38">
        <v>0</v>
      </c>
      <c r="AA18" s="39">
        <v>0</v>
      </c>
      <c r="AB18" s="40">
        <v>0</v>
      </c>
      <c r="AC18" s="41">
        <v>0</v>
      </c>
      <c r="AD18" s="41">
        <v>0</v>
      </c>
      <c r="AE18" s="58">
        <f t="shared" si="35"/>
        <v>0</v>
      </c>
      <c r="AF18" s="58">
        <f t="shared" si="36"/>
        <v>0</v>
      </c>
      <c r="AG18" s="58">
        <f t="shared" si="37"/>
        <v>0</v>
      </c>
      <c r="AH18" s="41">
        <f t="shared" si="38"/>
        <v>0</v>
      </c>
      <c r="AI18" s="41">
        <f t="shared" si="39"/>
        <v>0</v>
      </c>
      <c r="AJ18" s="41">
        <f t="shared" si="40"/>
        <v>0</v>
      </c>
      <c r="AK18" s="42">
        <v>1915.5</v>
      </c>
      <c r="AL18" s="41">
        <v>-4597.9599999999919</v>
      </c>
      <c r="AM18" s="41">
        <v>147385.60000000001</v>
      </c>
      <c r="AN18" s="64">
        <f t="shared" si="41"/>
        <v>142787.64000000001</v>
      </c>
      <c r="AO18" s="73">
        <f t="shared" si="42"/>
        <v>0</v>
      </c>
      <c r="AP18" s="73">
        <f t="shared" si="43"/>
        <v>0</v>
      </c>
    </row>
    <row r="19" spans="1:42" x14ac:dyDescent="0.25">
      <c r="B19" s="44" t="s">
        <v>339</v>
      </c>
      <c r="C19" s="32" t="s">
        <v>323</v>
      </c>
      <c r="D19" s="32" t="s">
        <v>339</v>
      </c>
      <c r="E19" s="32">
        <v>21</v>
      </c>
      <c r="F19" s="32" t="s">
        <v>340</v>
      </c>
      <c r="G19" s="33">
        <v>0.30443799999999999</v>
      </c>
      <c r="H19" s="34">
        <v>552</v>
      </c>
      <c r="I19" s="35" t="s">
        <v>326</v>
      </c>
      <c r="J19" s="36">
        <v>-4.849145</v>
      </c>
      <c r="K19" s="36">
        <v>-0.50879899999999978</v>
      </c>
      <c r="L19" s="53">
        <f t="shared" si="28"/>
        <v>-2676728.04</v>
      </c>
      <c r="M19" s="53">
        <f t="shared" si="29"/>
        <v>2395870.9920000001</v>
      </c>
      <c r="N19" s="53">
        <f t="shared" si="30"/>
        <v>-280857.04799999995</v>
      </c>
      <c r="O19" s="36">
        <v>0.77001299999999995</v>
      </c>
      <c r="P19" s="36">
        <v>0.27692499999999998</v>
      </c>
      <c r="Q19" s="36">
        <f t="shared" si="31"/>
        <v>0.77001299999999995</v>
      </c>
      <c r="R19" s="36">
        <f t="shared" si="32"/>
        <v>0.27692499999999998</v>
      </c>
      <c r="S19" s="36">
        <f>IF(C19&lt;&gt;"Offshore",0,IFERROR(VLOOKUP(D19,'Local Tariffs'!$A$4:$B$98,2,0),VLOOKUP(A19,'Local Tariffs'!$A$4:$B$98,2,0)))</f>
        <v>0</v>
      </c>
      <c r="T19" s="36">
        <f>IF(C19&lt;&gt;"Offshore",0,VLOOKUP(I19,'Local Tariffs'!$E$4:$F$38,2,0))</f>
        <v>0</v>
      </c>
      <c r="U19" s="53">
        <f t="shared" si="33"/>
        <v>577909.77599999995</v>
      </c>
      <c r="V19" s="53">
        <f t="shared" si="34"/>
        <v>0</v>
      </c>
      <c r="W19" s="36">
        <v>0.53813900000000015</v>
      </c>
      <c r="X19" s="37">
        <v>297052.73</v>
      </c>
      <c r="Y19" s="37">
        <v>-0.11999999999534339</v>
      </c>
      <c r="Z19" s="38">
        <v>-0.50879899999999978</v>
      </c>
      <c r="AA19" s="39">
        <v>-280857.05</v>
      </c>
      <c r="AB19" s="40">
        <v>0</v>
      </c>
      <c r="AC19" s="41">
        <v>0</v>
      </c>
      <c r="AD19" s="41">
        <v>280857.05</v>
      </c>
      <c r="AE19" s="58">
        <f t="shared" si="35"/>
        <v>-0.50879899999999978</v>
      </c>
      <c r="AF19" s="58">
        <f t="shared" si="36"/>
        <v>0</v>
      </c>
      <c r="AG19" s="58">
        <f t="shared" si="37"/>
        <v>0</v>
      </c>
      <c r="AH19" s="41">
        <f t="shared" si="38"/>
        <v>280857.04799999984</v>
      </c>
      <c r="AI19" s="41">
        <f t="shared" si="39"/>
        <v>0</v>
      </c>
      <c r="AJ19" s="41">
        <f t="shared" si="40"/>
        <v>0</v>
      </c>
      <c r="AK19" s="42">
        <v>488591.82</v>
      </c>
      <c r="AL19" s="41">
        <v>769448.75</v>
      </c>
      <c r="AM19" s="41">
        <v>297052.84999999998</v>
      </c>
      <c r="AN19" s="64">
        <f t="shared" si="41"/>
        <v>1066501.6000000001</v>
      </c>
      <c r="AO19" s="73">
        <f t="shared" si="42"/>
        <v>280857.04799999984</v>
      </c>
      <c r="AP19" s="73">
        <f t="shared" si="43"/>
        <v>0</v>
      </c>
    </row>
    <row r="20" spans="1:42" x14ac:dyDescent="0.25">
      <c r="B20" s="44" t="s">
        <v>341</v>
      </c>
      <c r="C20" s="32" t="s">
        <v>318</v>
      </c>
      <c r="D20" s="32" t="s">
        <v>341</v>
      </c>
      <c r="E20" s="32">
        <v>14</v>
      </c>
      <c r="F20" s="32" t="s">
        <v>320</v>
      </c>
      <c r="G20" s="33">
        <v>0.46107799999999999</v>
      </c>
      <c r="H20" s="34">
        <v>90</v>
      </c>
      <c r="I20" s="35" t="s">
        <v>342</v>
      </c>
      <c r="J20" s="36">
        <v>-4.849145</v>
      </c>
      <c r="K20" s="36">
        <v>-12.821569</v>
      </c>
      <c r="L20" s="53">
        <f t="shared" si="28"/>
        <v>-436423.05</v>
      </c>
      <c r="M20" s="53">
        <f t="shared" si="29"/>
        <v>-717518.15999999992</v>
      </c>
      <c r="N20" s="53">
        <f t="shared" si="30"/>
        <v>-1153941.21</v>
      </c>
      <c r="O20" s="36">
        <v>42.705899000000002</v>
      </c>
      <c r="P20" s="36">
        <v>8.1624440000000007</v>
      </c>
      <c r="Q20" s="36">
        <f t="shared" si="31"/>
        <v>0</v>
      </c>
      <c r="R20" s="36">
        <f t="shared" si="32"/>
        <v>0</v>
      </c>
      <c r="S20" s="36">
        <f>IF(C20&lt;&gt;"Offshore",0,IFERROR(VLOOKUP(D20,'Local Tariffs'!$A$4:$B$98,2,0),VLOOKUP(A20,'Local Tariffs'!$A$4:$B$98,2,0)))</f>
        <v>42.705899000000002</v>
      </c>
      <c r="T20" s="36">
        <f>IF(C20&lt;&gt;"Offshore",0,VLOOKUP(I20,'Local Tariffs'!$E$4:$F$38,2,0))</f>
        <v>8.1624440000000007</v>
      </c>
      <c r="U20" s="53">
        <f t="shared" si="33"/>
        <v>0</v>
      </c>
      <c r="V20" s="53">
        <f t="shared" si="34"/>
        <v>4578150.87</v>
      </c>
      <c r="W20" s="36">
        <v>38.046773999999999</v>
      </c>
      <c r="X20" s="37">
        <v>3424209.66</v>
      </c>
      <c r="Y20" s="37">
        <v>1.0000000707805157E-2</v>
      </c>
      <c r="Z20" s="38">
        <v>-12.821569</v>
      </c>
      <c r="AA20" s="39">
        <v>-1153941.21</v>
      </c>
      <c r="AB20" s="40">
        <v>89.027333333333331</v>
      </c>
      <c r="AC20" s="41">
        <v>-1141470.1000000001</v>
      </c>
      <c r="AD20" s="41">
        <v>12471.10999999987</v>
      </c>
      <c r="AE20" s="58">
        <f t="shared" si="35"/>
        <v>-12.821569</v>
      </c>
      <c r="AF20" s="58">
        <f t="shared" si="36"/>
        <v>0</v>
      </c>
      <c r="AG20" s="58">
        <f t="shared" si="37"/>
        <v>0</v>
      </c>
      <c r="AH20" s="41">
        <f t="shared" si="38"/>
        <v>12471.112780666694</v>
      </c>
      <c r="AI20" s="41">
        <f t="shared" si="39"/>
        <v>0</v>
      </c>
      <c r="AJ20" s="41">
        <f t="shared" si="40"/>
        <v>0</v>
      </c>
      <c r="AK20" s="42">
        <v>0</v>
      </c>
      <c r="AL20" s="41">
        <v>12471.120000000577</v>
      </c>
      <c r="AM20" s="41">
        <v>3424209.6499999994</v>
      </c>
      <c r="AN20" s="64">
        <f t="shared" si="41"/>
        <v>3436680.77</v>
      </c>
      <c r="AO20" s="73">
        <f t="shared" si="42"/>
        <v>4716.6017033333437</v>
      </c>
      <c r="AP20" s="73">
        <f t="shared" si="43"/>
        <v>7754.5110773333499</v>
      </c>
    </row>
    <row r="21" spans="1:42" x14ac:dyDescent="0.25">
      <c r="B21" s="44" t="s">
        <v>343</v>
      </c>
      <c r="C21" s="32" t="s">
        <v>318</v>
      </c>
      <c r="D21" s="32" t="s">
        <v>324</v>
      </c>
      <c r="E21" s="32">
        <v>1</v>
      </c>
      <c r="F21" s="32" t="s">
        <v>320</v>
      </c>
      <c r="G21" s="33">
        <v>0.49498199999999998</v>
      </c>
      <c r="H21" s="34">
        <v>588</v>
      </c>
      <c r="I21" s="35" t="s">
        <v>344</v>
      </c>
      <c r="J21" s="36">
        <v>-4.849145</v>
      </c>
      <c r="K21" s="36">
        <v>20.498201999999999</v>
      </c>
      <c r="L21" s="53">
        <f t="shared" si="28"/>
        <v>-2851297.26</v>
      </c>
      <c r="M21" s="53">
        <f t="shared" si="29"/>
        <v>14904240.035999998</v>
      </c>
      <c r="N21" s="53">
        <f t="shared" si="30"/>
        <v>12052942.775999999</v>
      </c>
      <c r="O21" s="36">
        <v>0</v>
      </c>
      <c r="P21" s="36">
        <v>0</v>
      </c>
      <c r="Q21" s="36">
        <f t="shared" si="31"/>
        <v>0</v>
      </c>
      <c r="R21" s="36">
        <f t="shared" si="32"/>
        <v>0</v>
      </c>
      <c r="S21" s="46">
        <v>0</v>
      </c>
      <c r="T21" s="46">
        <v>0</v>
      </c>
      <c r="U21" s="53">
        <f t="shared" si="33"/>
        <v>0</v>
      </c>
      <c r="V21" s="53">
        <f t="shared" si="34"/>
        <v>0</v>
      </c>
      <c r="W21" s="36">
        <v>20.498201999999999</v>
      </c>
      <c r="X21" s="37">
        <v>12052942.779999999</v>
      </c>
      <c r="Y21" s="37">
        <v>0.13999999687075615</v>
      </c>
      <c r="Z21" s="38">
        <v>0</v>
      </c>
      <c r="AA21" s="39">
        <v>0</v>
      </c>
      <c r="AB21" s="40">
        <v>0</v>
      </c>
      <c r="AC21" s="41">
        <v>0</v>
      </c>
      <c r="AD21" s="41">
        <v>0</v>
      </c>
      <c r="AE21" s="58">
        <f t="shared" si="35"/>
        <v>0</v>
      </c>
      <c r="AF21" s="58">
        <f t="shared" si="36"/>
        <v>0</v>
      </c>
      <c r="AG21" s="58">
        <f t="shared" si="37"/>
        <v>0</v>
      </c>
      <c r="AH21" s="41">
        <f t="shared" si="38"/>
        <v>0</v>
      </c>
      <c r="AI21" s="41">
        <f t="shared" si="39"/>
        <v>0</v>
      </c>
      <c r="AJ21" s="41">
        <f t="shared" si="40"/>
        <v>0</v>
      </c>
      <c r="AK21" s="42">
        <v>12338.08</v>
      </c>
      <c r="AL21" s="41">
        <v>12338.219999996871</v>
      </c>
      <c r="AM21" s="41">
        <v>12052942.640000002</v>
      </c>
      <c r="AN21" s="64">
        <f t="shared" si="41"/>
        <v>12065280.859999999</v>
      </c>
      <c r="AO21" s="73">
        <f t="shared" si="42"/>
        <v>0</v>
      </c>
      <c r="AP21" s="73">
        <f t="shared" si="43"/>
        <v>0</v>
      </c>
    </row>
    <row r="22" spans="1:42" x14ac:dyDescent="0.25">
      <c r="B22" s="44" t="s">
        <v>345</v>
      </c>
      <c r="C22" s="32" t="s">
        <v>323</v>
      </c>
      <c r="D22" s="32" t="s">
        <v>345</v>
      </c>
      <c r="E22" s="32">
        <v>3</v>
      </c>
      <c r="F22" s="32" t="s">
        <v>328</v>
      </c>
      <c r="G22" s="33">
        <v>0.31567899999999999</v>
      </c>
      <c r="H22" s="34">
        <v>109</v>
      </c>
      <c r="I22" s="35" t="s">
        <v>321</v>
      </c>
      <c r="J22" s="36">
        <v>-4.849145</v>
      </c>
      <c r="K22" s="36">
        <v>16.102193</v>
      </c>
      <c r="L22" s="53">
        <f t="shared" si="28"/>
        <v>-528556.80500000005</v>
      </c>
      <c r="M22" s="53">
        <f t="shared" si="29"/>
        <v>2283695.8420000002</v>
      </c>
      <c r="N22" s="53">
        <f t="shared" si="30"/>
        <v>1755139.037</v>
      </c>
      <c r="O22" s="36">
        <v>1.519952</v>
      </c>
      <c r="P22" s="36">
        <v>0.203179</v>
      </c>
      <c r="Q22" s="36">
        <f t="shared" si="31"/>
        <v>1.519952</v>
      </c>
      <c r="R22" s="36">
        <f t="shared" si="32"/>
        <v>0.203179</v>
      </c>
      <c r="S22" s="36">
        <f>IF(C22&lt;&gt;"Offshore",0,IFERROR(VLOOKUP(D22,'Local Tariffs'!$A$4:$B$98,2,0),VLOOKUP(A22,'Local Tariffs'!$A$4:$B$98,2,0)))</f>
        <v>0</v>
      </c>
      <c r="T22" s="36">
        <f>IF(C22&lt;&gt;"Offshore",0,VLOOKUP(I22,'Local Tariffs'!$E$4:$F$38,2,0))</f>
        <v>0</v>
      </c>
      <c r="U22" s="53">
        <f t="shared" si="33"/>
        <v>187821.27900000001</v>
      </c>
      <c r="V22" s="53">
        <f t="shared" si="34"/>
        <v>0</v>
      </c>
      <c r="W22" s="36">
        <v>17.825323999999998</v>
      </c>
      <c r="X22" s="37">
        <v>1942960.32</v>
      </c>
      <c r="Y22" s="37">
        <v>-9.9999995436519384E-3</v>
      </c>
      <c r="Z22" s="38">
        <v>0</v>
      </c>
      <c r="AA22" s="39">
        <v>0</v>
      </c>
      <c r="AB22" s="40">
        <v>0</v>
      </c>
      <c r="AC22" s="41">
        <v>0</v>
      </c>
      <c r="AD22" s="41">
        <v>0</v>
      </c>
      <c r="AE22" s="58">
        <f t="shared" si="35"/>
        <v>0</v>
      </c>
      <c r="AF22" s="58">
        <f t="shared" si="36"/>
        <v>0</v>
      </c>
      <c r="AG22" s="58">
        <f t="shared" si="37"/>
        <v>0</v>
      </c>
      <c r="AH22" s="41">
        <f t="shared" si="38"/>
        <v>0</v>
      </c>
      <c r="AI22" s="41">
        <f t="shared" si="39"/>
        <v>0</v>
      </c>
      <c r="AJ22" s="41">
        <f t="shared" si="40"/>
        <v>0</v>
      </c>
      <c r="AK22" s="42">
        <v>0</v>
      </c>
      <c r="AL22" s="41">
        <v>-9.9999995436519384E-3</v>
      </c>
      <c r="AM22" s="41">
        <v>1942960.3299999996</v>
      </c>
      <c r="AN22" s="64">
        <f t="shared" si="41"/>
        <v>1942960.32</v>
      </c>
      <c r="AO22" s="73">
        <f t="shared" si="42"/>
        <v>0</v>
      </c>
      <c r="AP22" s="73">
        <f t="shared" si="43"/>
        <v>0</v>
      </c>
    </row>
    <row r="23" spans="1:42" x14ac:dyDescent="0.25">
      <c r="B23" s="44" t="s">
        <v>346</v>
      </c>
      <c r="C23" s="32" t="s">
        <v>323</v>
      </c>
      <c r="D23" s="32" t="s">
        <v>346</v>
      </c>
      <c r="E23" s="32">
        <v>3</v>
      </c>
      <c r="F23" s="32" t="s">
        <v>328</v>
      </c>
      <c r="G23" s="33">
        <v>0.39983400000000002</v>
      </c>
      <c r="H23" s="34">
        <v>108</v>
      </c>
      <c r="I23" s="35" t="s">
        <v>321</v>
      </c>
      <c r="J23" s="36">
        <v>-4.849145</v>
      </c>
      <c r="K23" s="36">
        <v>17.737169999999999</v>
      </c>
      <c r="L23" s="53">
        <f t="shared" si="28"/>
        <v>-523707.66000000003</v>
      </c>
      <c r="M23" s="53">
        <f t="shared" si="29"/>
        <v>2439322.02</v>
      </c>
      <c r="N23" s="53">
        <f t="shared" si="30"/>
        <v>1915614.3599999999</v>
      </c>
      <c r="O23" s="36">
        <v>0.65338600000000002</v>
      </c>
      <c r="P23" s="36">
        <v>0.203179</v>
      </c>
      <c r="Q23" s="36">
        <f t="shared" si="31"/>
        <v>0.65338600000000002</v>
      </c>
      <c r="R23" s="36">
        <f t="shared" si="32"/>
        <v>0.203179</v>
      </c>
      <c r="S23" s="36">
        <f>IF(C23&lt;&gt;"Offshore",0,IFERROR(VLOOKUP(D23,'Local Tariffs'!$A$4:$B$98,2,0),VLOOKUP(A23,'Local Tariffs'!$A$4:$B$98,2,0)))</f>
        <v>0</v>
      </c>
      <c r="T23" s="36">
        <f>IF(C23&lt;&gt;"Offshore",0,VLOOKUP(I23,'Local Tariffs'!$E$4:$F$38,2,0))</f>
        <v>0</v>
      </c>
      <c r="U23" s="53">
        <f t="shared" si="33"/>
        <v>92509.02</v>
      </c>
      <c r="V23" s="53">
        <f t="shared" si="34"/>
        <v>0</v>
      </c>
      <c r="W23" s="36">
        <v>18.593734999999999</v>
      </c>
      <c r="X23" s="37">
        <v>2008123.38</v>
      </c>
      <c r="Y23" s="37">
        <v>3.0000000260770321E-2</v>
      </c>
      <c r="Z23" s="38">
        <v>0</v>
      </c>
      <c r="AA23" s="39">
        <v>0</v>
      </c>
      <c r="AB23" s="40">
        <v>0</v>
      </c>
      <c r="AC23" s="41">
        <v>0</v>
      </c>
      <c r="AD23" s="41">
        <v>0</v>
      </c>
      <c r="AE23" s="58">
        <f t="shared" si="35"/>
        <v>0</v>
      </c>
      <c r="AF23" s="58">
        <f t="shared" si="36"/>
        <v>0</v>
      </c>
      <c r="AG23" s="58">
        <f t="shared" si="37"/>
        <v>0</v>
      </c>
      <c r="AH23" s="41">
        <f t="shared" si="38"/>
        <v>0</v>
      </c>
      <c r="AI23" s="41">
        <f t="shared" si="39"/>
        <v>0</v>
      </c>
      <c r="AJ23" s="41">
        <f t="shared" si="40"/>
        <v>0</v>
      </c>
      <c r="AK23" s="42">
        <v>0</v>
      </c>
      <c r="AL23" s="41">
        <v>3.0000000260770321E-2</v>
      </c>
      <c r="AM23" s="41">
        <v>2008123.3499999996</v>
      </c>
      <c r="AN23" s="64">
        <f t="shared" si="41"/>
        <v>2008123.38</v>
      </c>
      <c r="AO23" s="73">
        <f t="shared" si="42"/>
        <v>0</v>
      </c>
      <c r="AP23" s="73">
        <f t="shared" si="43"/>
        <v>0</v>
      </c>
    </row>
    <row r="24" spans="1:42" x14ac:dyDescent="0.25">
      <c r="B24" s="44" t="s">
        <v>347</v>
      </c>
      <c r="C24" s="32" t="s">
        <v>323</v>
      </c>
      <c r="D24" s="32" t="s">
        <v>347</v>
      </c>
      <c r="E24" s="32">
        <v>11</v>
      </c>
      <c r="F24" s="32" t="s">
        <v>328</v>
      </c>
      <c r="G24" s="33">
        <v>0.25538699999999998</v>
      </c>
      <c r="H24" s="34">
        <v>118</v>
      </c>
      <c r="I24" s="35" t="s">
        <v>321</v>
      </c>
      <c r="J24" s="36">
        <v>-4.849145</v>
      </c>
      <c r="K24" s="36">
        <v>4.2676449999999999</v>
      </c>
      <c r="L24" s="53">
        <f t="shared" si="28"/>
        <v>-572199.11</v>
      </c>
      <c r="M24" s="53">
        <f t="shared" si="29"/>
        <v>1075781.22</v>
      </c>
      <c r="N24" s="53">
        <f t="shared" si="30"/>
        <v>503582.11</v>
      </c>
      <c r="O24" s="36">
        <v>1.7683070000000001</v>
      </c>
      <c r="P24" s="36">
        <v>0.203179</v>
      </c>
      <c r="Q24" s="36">
        <f t="shared" si="31"/>
        <v>1.7683070000000001</v>
      </c>
      <c r="R24" s="36">
        <f t="shared" si="32"/>
        <v>0.203179</v>
      </c>
      <c r="S24" s="36">
        <f>IF(C24&lt;&gt;"Offshore",0,IFERROR(VLOOKUP(D24,'Local Tariffs'!$A$4:$B$98,2,0),VLOOKUP(A24,'Local Tariffs'!$A$4:$B$98,2,0)))</f>
        <v>0</v>
      </c>
      <c r="T24" s="36">
        <f>IF(C24&lt;&gt;"Offshore",0,VLOOKUP(I24,'Local Tariffs'!$E$4:$F$38,2,0))</f>
        <v>0</v>
      </c>
      <c r="U24" s="53">
        <f t="shared" si="33"/>
        <v>232635.34800000003</v>
      </c>
      <c r="V24" s="53">
        <f t="shared" si="34"/>
        <v>0</v>
      </c>
      <c r="W24" s="36">
        <v>6.2391310000000004</v>
      </c>
      <c r="X24" s="37">
        <v>736217.46</v>
      </c>
      <c r="Y24" s="37">
        <v>-4.9999999930150807E-2</v>
      </c>
      <c r="Z24" s="38">
        <v>0</v>
      </c>
      <c r="AA24" s="39">
        <v>0</v>
      </c>
      <c r="AB24" s="40">
        <v>0</v>
      </c>
      <c r="AC24" s="41">
        <v>0</v>
      </c>
      <c r="AD24" s="41">
        <v>0</v>
      </c>
      <c r="AE24" s="58">
        <f t="shared" si="35"/>
        <v>0</v>
      </c>
      <c r="AF24" s="58">
        <f t="shared" si="36"/>
        <v>0</v>
      </c>
      <c r="AG24" s="58">
        <f t="shared" si="37"/>
        <v>0</v>
      </c>
      <c r="AH24" s="41">
        <f t="shared" si="38"/>
        <v>0</v>
      </c>
      <c r="AI24" s="41">
        <f t="shared" si="39"/>
        <v>0</v>
      </c>
      <c r="AJ24" s="41">
        <f t="shared" si="40"/>
        <v>0</v>
      </c>
      <c r="AK24" s="42">
        <v>0</v>
      </c>
      <c r="AL24" s="41">
        <v>-4.9999999930150807E-2</v>
      </c>
      <c r="AM24" s="41">
        <v>736217.50999999989</v>
      </c>
      <c r="AN24" s="64">
        <f t="shared" si="41"/>
        <v>736217.46</v>
      </c>
      <c r="AO24" s="73">
        <f t="shared" si="42"/>
        <v>0</v>
      </c>
      <c r="AP24" s="73">
        <f t="shared" si="43"/>
        <v>0</v>
      </c>
    </row>
    <row r="25" spans="1:42" x14ac:dyDescent="0.25">
      <c r="B25" s="44" t="s">
        <v>348</v>
      </c>
      <c r="C25" s="32" t="s">
        <v>323</v>
      </c>
      <c r="D25" s="32" t="s">
        <v>348</v>
      </c>
      <c r="E25" s="32">
        <v>10</v>
      </c>
      <c r="F25" s="32" t="s">
        <v>328</v>
      </c>
      <c r="G25" s="33">
        <v>0.37351099999999998</v>
      </c>
      <c r="H25" s="34">
        <v>52.9</v>
      </c>
      <c r="I25" s="35" t="s">
        <v>321</v>
      </c>
      <c r="J25" s="36">
        <v>-4.849145</v>
      </c>
      <c r="K25" s="36">
        <v>-0.25753499999999896</v>
      </c>
      <c r="L25" s="53">
        <f t="shared" si="28"/>
        <v>-256519.77049999998</v>
      </c>
      <c r="M25" s="53">
        <f t="shared" si="29"/>
        <v>242896.16900000005</v>
      </c>
      <c r="N25" s="53">
        <f t="shared" si="30"/>
        <v>-13623.601499999932</v>
      </c>
      <c r="O25" s="36">
        <v>6.3704700000000001</v>
      </c>
      <c r="P25" s="36">
        <v>0.203179</v>
      </c>
      <c r="Q25" s="36">
        <f t="shared" si="31"/>
        <v>6.3704700000000001</v>
      </c>
      <c r="R25" s="36">
        <f t="shared" si="32"/>
        <v>0.203179</v>
      </c>
      <c r="S25" s="36">
        <f>IF(C25&lt;&gt;"Offshore",0,IFERROR(VLOOKUP(D25,'Local Tariffs'!$A$4:$B$98,2,0),VLOOKUP(A25,'Local Tariffs'!$A$4:$B$98,2,0)))</f>
        <v>0</v>
      </c>
      <c r="T25" s="36">
        <f>IF(C25&lt;&gt;"Offshore",0,VLOOKUP(I25,'Local Tariffs'!$E$4:$F$38,2,0))</f>
        <v>0</v>
      </c>
      <c r="U25" s="53">
        <f t="shared" si="33"/>
        <v>347746.03209999995</v>
      </c>
      <c r="V25" s="53">
        <f t="shared" si="34"/>
        <v>0</v>
      </c>
      <c r="W25" s="36">
        <v>6.3161140000000007</v>
      </c>
      <c r="X25" s="37">
        <v>334122.43</v>
      </c>
      <c r="Y25" s="37">
        <v>1.0000000009313226E-2</v>
      </c>
      <c r="Z25" s="38">
        <v>-0.25753499999999896</v>
      </c>
      <c r="AA25" s="39">
        <v>-13623.6</v>
      </c>
      <c r="AB25" s="40">
        <v>52.9</v>
      </c>
      <c r="AC25" s="41">
        <v>-13623.6</v>
      </c>
      <c r="AD25" s="41">
        <v>0</v>
      </c>
      <c r="AE25" s="58">
        <f t="shared" si="35"/>
        <v>-0.25753499999999896</v>
      </c>
      <c r="AF25" s="58">
        <f t="shared" si="36"/>
        <v>0</v>
      </c>
      <c r="AG25" s="58">
        <f t="shared" si="37"/>
        <v>0</v>
      </c>
      <c r="AH25" s="41">
        <f t="shared" si="38"/>
        <v>0</v>
      </c>
      <c r="AI25" s="41">
        <f t="shared" si="39"/>
        <v>0</v>
      </c>
      <c r="AJ25" s="41">
        <f t="shared" si="40"/>
        <v>0</v>
      </c>
      <c r="AK25" s="42">
        <v>0</v>
      </c>
      <c r="AL25" s="41">
        <v>1.0000000009313226E-2</v>
      </c>
      <c r="AM25" s="41">
        <v>334122.42</v>
      </c>
      <c r="AN25" s="64">
        <f t="shared" si="41"/>
        <v>334122.43</v>
      </c>
      <c r="AO25" s="73">
        <f t="shared" si="42"/>
        <v>0</v>
      </c>
      <c r="AP25" s="73">
        <f t="shared" si="43"/>
        <v>0</v>
      </c>
    </row>
    <row r="26" spans="1:42" x14ac:dyDescent="0.25">
      <c r="B26" s="44" t="s">
        <v>349</v>
      </c>
      <c r="C26" s="32" t="s">
        <v>323</v>
      </c>
      <c r="D26" s="32" t="s">
        <v>349</v>
      </c>
      <c r="E26" s="32">
        <v>11</v>
      </c>
      <c r="F26" s="32" t="s">
        <v>328</v>
      </c>
      <c r="G26" s="33">
        <v>0.258627</v>
      </c>
      <c r="H26" s="34">
        <v>60</v>
      </c>
      <c r="I26" s="35" t="s">
        <v>321</v>
      </c>
      <c r="J26" s="36">
        <v>-4.849145</v>
      </c>
      <c r="K26" s="36">
        <v>-7.2388429999999993</v>
      </c>
      <c r="L26" s="53">
        <f t="shared" si="28"/>
        <v>-290948.7</v>
      </c>
      <c r="M26" s="53">
        <f t="shared" si="29"/>
        <v>-143381.87999999998</v>
      </c>
      <c r="N26" s="53">
        <f t="shared" si="30"/>
        <v>-434330.57999999996</v>
      </c>
      <c r="O26" s="36">
        <v>3.7499250000000002</v>
      </c>
      <c r="P26" s="36">
        <v>0.203179</v>
      </c>
      <c r="Q26" s="36">
        <f t="shared" si="31"/>
        <v>3.7499250000000002</v>
      </c>
      <c r="R26" s="36">
        <f t="shared" si="32"/>
        <v>0.203179</v>
      </c>
      <c r="S26" s="36">
        <f>IF(C26&lt;&gt;"Offshore",0,IFERROR(VLOOKUP(D26,'Local Tariffs'!$A$4:$B$98,2,0),VLOOKUP(A26,'Local Tariffs'!$A$4:$B$98,2,0)))</f>
        <v>0</v>
      </c>
      <c r="T26" s="36">
        <f>IF(C26&lt;&gt;"Offshore",0,VLOOKUP(I26,'Local Tariffs'!$E$4:$F$38,2,0))</f>
        <v>0</v>
      </c>
      <c r="U26" s="53">
        <f t="shared" si="33"/>
        <v>237186.24</v>
      </c>
      <c r="V26" s="53">
        <f t="shared" si="34"/>
        <v>0</v>
      </c>
      <c r="W26" s="36">
        <v>-3.2857389999999991</v>
      </c>
      <c r="X26" s="37">
        <v>-197144.34</v>
      </c>
      <c r="Y26" s="37">
        <v>-1.9999999989522621E-2</v>
      </c>
      <c r="Z26" s="38">
        <v>-7.2388429999999993</v>
      </c>
      <c r="AA26" s="39">
        <v>-434330.58</v>
      </c>
      <c r="AB26" s="40">
        <v>58.897999999999996</v>
      </c>
      <c r="AC26" s="41">
        <v>-426353.38</v>
      </c>
      <c r="AD26" s="41">
        <v>7977.2000000000116</v>
      </c>
      <c r="AE26" s="58">
        <f t="shared" si="35"/>
        <v>-7.2388429999999993</v>
      </c>
      <c r="AF26" s="58">
        <f t="shared" si="36"/>
        <v>0</v>
      </c>
      <c r="AG26" s="58">
        <f t="shared" si="37"/>
        <v>0</v>
      </c>
      <c r="AH26" s="41">
        <f t="shared" si="38"/>
        <v>7977.204986000027</v>
      </c>
      <c r="AI26" s="41">
        <f t="shared" si="39"/>
        <v>0</v>
      </c>
      <c r="AJ26" s="41">
        <f t="shared" si="40"/>
        <v>0</v>
      </c>
      <c r="AK26" s="42">
        <v>0</v>
      </c>
      <c r="AL26" s="41">
        <v>7977.1800000000221</v>
      </c>
      <c r="AM26" s="41">
        <v>-197144.32000000001</v>
      </c>
      <c r="AN26" s="64">
        <f t="shared" si="41"/>
        <v>-189167.13999999998</v>
      </c>
      <c r="AO26" s="73">
        <f t="shared" si="42"/>
        <v>5343.7577900000188</v>
      </c>
      <c r="AP26" s="73">
        <f t="shared" si="43"/>
        <v>2633.4471960000087</v>
      </c>
    </row>
    <row r="27" spans="1:42" x14ac:dyDescent="0.25">
      <c r="B27" s="44" t="s">
        <v>350</v>
      </c>
      <c r="C27" s="32" t="s">
        <v>323</v>
      </c>
      <c r="D27" s="32" t="s">
        <v>324</v>
      </c>
      <c r="E27" s="32">
        <v>24</v>
      </c>
      <c r="F27" s="32" t="s">
        <v>340</v>
      </c>
      <c r="G27" s="33">
        <v>0.26079599999999997</v>
      </c>
      <c r="H27" s="34">
        <v>442</v>
      </c>
      <c r="I27" s="35" t="s">
        <v>326</v>
      </c>
      <c r="J27" s="36">
        <v>-4.849145</v>
      </c>
      <c r="K27" s="36">
        <v>-7.8991290000000003</v>
      </c>
      <c r="L27" s="53">
        <f t="shared" si="28"/>
        <v>-2143322.0900000003</v>
      </c>
      <c r="M27" s="53">
        <f t="shared" si="29"/>
        <v>-1348092.9280000001</v>
      </c>
      <c r="N27" s="53">
        <f t="shared" si="30"/>
        <v>-3491415.0180000002</v>
      </c>
      <c r="O27" s="36">
        <v>0</v>
      </c>
      <c r="P27" s="36">
        <v>0.27692499999999998</v>
      </c>
      <c r="Q27" s="36">
        <f t="shared" si="31"/>
        <v>0</v>
      </c>
      <c r="R27" s="36">
        <f t="shared" si="32"/>
        <v>0.27692499999999998</v>
      </c>
      <c r="S27" s="36">
        <f>IF(C27&lt;&gt;"Offshore",0,IFERROR(VLOOKUP(D27,'Local Tariffs'!$A$4:$B$98,2,0),VLOOKUP(A27,'Local Tariffs'!$A$4:$B$98,2,0)))</f>
        <v>0</v>
      </c>
      <c r="T27" s="36">
        <f>IF(C27&lt;&gt;"Offshore",0,VLOOKUP(I27,'Local Tariffs'!$E$4:$F$38,2,0))</f>
        <v>0</v>
      </c>
      <c r="U27" s="53">
        <f t="shared" si="33"/>
        <v>122400.84999999999</v>
      </c>
      <c r="V27" s="53">
        <f t="shared" si="34"/>
        <v>0</v>
      </c>
      <c r="W27" s="36">
        <v>-7.622204</v>
      </c>
      <c r="X27" s="37">
        <v>-3369014.17</v>
      </c>
      <c r="Y27" s="37">
        <v>0.13000000128522515</v>
      </c>
      <c r="Z27" s="38">
        <v>-7.8991290000000003</v>
      </c>
      <c r="AA27" s="39">
        <v>-3491415.02</v>
      </c>
      <c r="AB27" s="40">
        <v>162.62266666666667</v>
      </c>
      <c r="AC27" s="41">
        <v>-1284577.42</v>
      </c>
      <c r="AD27" s="41">
        <v>2206837.6</v>
      </c>
      <c r="AE27" s="58">
        <f t="shared" si="35"/>
        <v>-7.8991290000000003</v>
      </c>
      <c r="AF27" s="58">
        <f t="shared" si="36"/>
        <v>0</v>
      </c>
      <c r="AG27" s="58">
        <f t="shared" si="37"/>
        <v>0</v>
      </c>
      <c r="AH27" s="41">
        <f t="shared" si="38"/>
        <v>2206837.5956760002</v>
      </c>
      <c r="AI27" s="41">
        <f t="shared" si="39"/>
        <v>0</v>
      </c>
      <c r="AJ27" s="41">
        <f t="shared" si="40"/>
        <v>0</v>
      </c>
      <c r="AK27" s="42">
        <v>92428.04</v>
      </c>
      <c r="AL27" s="41">
        <v>2299265.7700000014</v>
      </c>
      <c r="AM27" s="41">
        <v>-3369014.3000000012</v>
      </c>
      <c r="AN27" s="64">
        <f t="shared" si="41"/>
        <v>-1069748.5299999998</v>
      </c>
      <c r="AO27" s="73">
        <f t="shared" si="42"/>
        <v>1354741.1990466667</v>
      </c>
      <c r="AP27" s="73">
        <f t="shared" si="43"/>
        <v>852096.39662933338</v>
      </c>
    </row>
    <row r="28" spans="1:42" x14ac:dyDescent="0.25">
      <c r="A28" t="s">
        <v>571</v>
      </c>
      <c r="B28" s="44" t="s">
        <v>351</v>
      </c>
      <c r="C28" s="32" t="s">
        <v>318</v>
      </c>
      <c r="D28" s="32" t="s">
        <v>351</v>
      </c>
      <c r="E28" s="32">
        <v>16</v>
      </c>
      <c r="F28" s="32" t="s">
        <v>320</v>
      </c>
      <c r="G28" s="33">
        <v>0.389768</v>
      </c>
      <c r="H28" s="34">
        <v>258</v>
      </c>
      <c r="I28" s="35" t="s">
        <v>352</v>
      </c>
      <c r="J28" s="36">
        <v>-4.849145</v>
      </c>
      <c r="K28" s="36">
        <v>-4.7103659999999996</v>
      </c>
      <c r="L28" s="53">
        <f t="shared" si="28"/>
        <v>-1251079.4100000001</v>
      </c>
      <c r="M28" s="53">
        <f t="shared" si="29"/>
        <v>35804.982000000105</v>
      </c>
      <c r="N28" s="53">
        <f t="shared" si="30"/>
        <v>-1215274.4280000001</v>
      </c>
      <c r="O28" s="36">
        <v>20.257999000000002</v>
      </c>
      <c r="P28" s="36">
        <v>10.580601</v>
      </c>
      <c r="Q28" s="36">
        <f t="shared" si="31"/>
        <v>0</v>
      </c>
      <c r="R28" s="36">
        <f t="shared" si="32"/>
        <v>0</v>
      </c>
      <c r="S28" s="36">
        <f>IF(C28&lt;&gt;"Offshore",0,IFERROR(VLOOKUP(D28,'Local Tariffs'!$A$4:$B$98,2,0),VLOOKUP(A28,'Local Tariffs'!$A$4:$B$98,2,0)))</f>
        <v>20.257999000000002</v>
      </c>
      <c r="T28" s="36">
        <f>IF(C28&lt;&gt;"Offshore",0,VLOOKUP(I28,'Local Tariffs'!$E$4:$F$38,2,0))</f>
        <v>10.580601</v>
      </c>
      <c r="U28" s="53">
        <f t="shared" si="33"/>
        <v>0</v>
      </c>
      <c r="V28" s="53">
        <f t="shared" si="34"/>
        <v>7956358.7999999998</v>
      </c>
      <c r="W28" s="36">
        <v>26.128233999999999</v>
      </c>
      <c r="X28" s="37">
        <v>6741084.3700000001</v>
      </c>
      <c r="Y28" s="37">
        <v>3.9999998174607754E-2</v>
      </c>
      <c r="Z28" s="38">
        <v>-4.7103659999999996</v>
      </c>
      <c r="AA28" s="39">
        <v>-1215274.43</v>
      </c>
      <c r="AB28" s="40">
        <v>257.71866666666665</v>
      </c>
      <c r="AC28" s="41">
        <v>-1213949.25</v>
      </c>
      <c r="AD28" s="41">
        <v>1325.1799999999348</v>
      </c>
      <c r="AE28" s="58">
        <f t="shared" si="35"/>
        <v>-4.7103659999999996</v>
      </c>
      <c r="AF28" s="58">
        <f t="shared" si="36"/>
        <v>0</v>
      </c>
      <c r="AG28" s="58">
        <f t="shared" si="37"/>
        <v>0</v>
      </c>
      <c r="AH28" s="41">
        <f t="shared" si="38"/>
        <v>1325.1829680000799</v>
      </c>
      <c r="AI28" s="41">
        <f t="shared" si="39"/>
        <v>0</v>
      </c>
      <c r="AJ28" s="41">
        <f t="shared" si="40"/>
        <v>0</v>
      </c>
      <c r="AK28" s="42">
        <v>0</v>
      </c>
      <c r="AL28" s="41">
        <v>1325.2199999981094</v>
      </c>
      <c r="AM28" s="41">
        <v>6741084.3300000019</v>
      </c>
      <c r="AN28" s="64">
        <f t="shared" si="41"/>
        <v>6742409.5499999998</v>
      </c>
      <c r="AO28" s="73">
        <f t="shared" si="42"/>
        <v>1325.1829680000799</v>
      </c>
      <c r="AP28" s="73">
        <f t="shared" si="43"/>
        <v>0</v>
      </c>
    </row>
    <row r="29" spans="1:42" x14ac:dyDescent="0.25">
      <c r="B29" s="44" t="s">
        <v>353</v>
      </c>
      <c r="C29" s="32" t="s">
        <v>323</v>
      </c>
      <c r="D29" s="32" t="s">
        <v>354</v>
      </c>
      <c r="E29" s="32">
        <v>7</v>
      </c>
      <c r="F29" s="32" t="s">
        <v>328</v>
      </c>
      <c r="G29" s="33">
        <v>0.45636599999999999</v>
      </c>
      <c r="H29" s="34">
        <v>46</v>
      </c>
      <c r="I29" s="35" t="s">
        <v>321</v>
      </c>
      <c r="J29" s="36">
        <v>-4.849145</v>
      </c>
      <c r="K29" s="36">
        <v>13.919497000000002</v>
      </c>
      <c r="L29" s="53">
        <f t="shared" si="28"/>
        <v>-223060.67</v>
      </c>
      <c r="M29" s="53">
        <f t="shared" si="29"/>
        <v>863357.53200000001</v>
      </c>
      <c r="N29" s="53">
        <f t="shared" si="30"/>
        <v>640296.86199999996</v>
      </c>
      <c r="O29" s="36">
        <v>4.451403</v>
      </c>
      <c r="P29" s="36">
        <v>0.203179</v>
      </c>
      <c r="Q29" s="36">
        <f t="shared" si="31"/>
        <v>4.451403</v>
      </c>
      <c r="R29" s="36">
        <f t="shared" si="32"/>
        <v>0.203179</v>
      </c>
      <c r="S29" s="36">
        <f>IF(C29&lt;&gt;"Offshore",0,IFERROR(VLOOKUP(D29,'Local Tariffs'!$A$4:$B$98,2,0),VLOOKUP(A29,'Local Tariffs'!$A$4:$B$98,2,0)))</f>
        <v>0</v>
      </c>
      <c r="T29" s="36">
        <f>IF(C29&lt;&gt;"Offshore",0,VLOOKUP(I29,'Local Tariffs'!$E$4:$F$38,2,0))</f>
        <v>0</v>
      </c>
      <c r="U29" s="53">
        <f t="shared" si="33"/>
        <v>214110.77199999997</v>
      </c>
      <c r="V29" s="53">
        <f t="shared" si="34"/>
        <v>0</v>
      </c>
      <c r="W29" s="36">
        <v>18.574079000000001</v>
      </c>
      <c r="X29" s="37">
        <v>854407.63</v>
      </c>
      <c r="Y29" s="37">
        <v>0</v>
      </c>
      <c r="Z29" s="38">
        <v>0</v>
      </c>
      <c r="AA29" s="39">
        <v>0</v>
      </c>
      <c r="AB29" s="40">
        <v>0</v>
      </c>
      <c r="AC29" s="41">
        <v>0</v>
      </c>
      <c r="AD29" s="41">
        <v>0</v>
      </c>
      <c r="AE29" s="58">
        <f t="shared" si="35"/>
        <v>0</v>
      </c>
      <c r="AF29" s="58">
        <f t="shared" si="36"/>
        <v>0</v>
      </c>
      <c r="AG29" s="58">
        <f t="shared" si="37"/>
        <v>0</v>
      </c>
      <c r="AH29" s="41">
        <f t="shared" si="38"/>
        <v>0</v>
      </c>
      <c r="AI29" s="41">
        <f t="shared" si="39"/>
        <v>0</v>
      </c>
      <c r="AJ29" s="41">
        <f t="shared" si="40"/>
        <v>0</v>
      </c>
      <c r="AK29" s="42">
        <v>0</v>
      </c>
      <c r="AL29" s="41">
        <v>0</v>
      </c>
      <c r="AM29" s="41">
        <v>854407.63000000012</v>
      </c>
      <c r="AN29" s="64">
        <f t="shared" si="41"/>
        <v>854407.63000000012</v>
      </c>
      <c r="AO29" s="73">
        <f t="shared" si="42"/>
        <v>0</v>
      </c>
      <c r="AP29" s="73">
        <f t="shared" si="43"/>
        <v>0</v>
      </c>
    </row>
    <row r="30" spans="1:42" x14ac:dyDescent="0.25">
      <c r="B30" s="44" t="s">
        <v>355</v>
      </c>
      <c r="C30" s="32" t="s">
        <v>323</v>
      </c>
      <c r="D30" s="32" t="s">
        <v>324</v>
      </c>
      <c r="E30" s="32">
        <v>16</v>
      </c>
      <c r="F30" s="32" t="s">
        <v>340</v>
      </c>
      <c r="G30" s="33">
        <v>0.60748500000000005</v>
      </c>
      <c r="H30" s="34">
        <v>910</v>
      </c>
      <c r="I30" s="35" t="s">
        <v>356</v>
      </c>
      <c r="J30" s="36">
        <v>-4.849145</v>
      </c>
      <c r="K30" s="36">
        <v>-1.2679290000000001</v>
      </c>
      <c r="L30" s="53">
        <f t="shared" si="28"/>
        <v>-4412721.95</v>
      </c>
      <c r="M30" s="53">
        <f t="shared" si="29"/>
        <v>3258906.56</v>
      </c>
      <c r="N30" s="53">
        <f t="shared" si="30"/>
        <v>-1153815.3900000001</v>
      </c>
      <c r="O30" s="36">
        <v>0</v>
      </c>
      <c r="P30" s="36">
        <v>0.201402</v>
      </c>
      <c r="Q30" s="36">
        <f t="shared" si="31"/>
        <v>0</v>
      </c>
      <c r="R30" s="36">
        <f t="shared" si="32"/>
        <v>0.201402</v>
      </c>
      <c r="S30" s="36">
        <f>IF(C30&lt;&gt;"Offshore",0,IFERROR(VLOOKUP(D30,'Local Tariffs'!$A$4:$B$98,2,0),VLOOKUP(A30,'Local Tariffs'!$A$4:$B$98,2,0)))</f>
        <v>0</v>
      </c>
      <c r="T30" s="36">
        <f>IF(C30&lt;&gt;"Offshore",0,VLOOKUP(I30,'Local Tariffs'!$E$4:$F$38,2,0))</f>
        <v>0</v>
      </c>
      <c r="U30" s="53">
        <f t="shared" si="33"/>
        <v>183275.82</v>
      </c>
      <c r="V30" s="53">
        <f t="shared" si="34"/>
        <v>0</v>
      </c>
      <c r="W30" s="36">
        <v>-1.066527</v>
      </c>
      <c r="X30" s="37">
        <v>-970539.57</v>
      </c>
      <c r="Y30" s="37">
        <v>-6.9999999832361937E-2</v>
      </c>
      <c r="Z30" s="38">
        <v>-1.2679290000000001</v>
      </c>
      <c r="AA30" s="39">
        <v>-1153815.3899999999</v>
      </c>
      <c r="AB30" s="40">
        <v>897.80000000000007</v>
      </c>
      <c r="AC30" s="41">
        <v>-1138346.6599999999</v>
      </c>
      <c r="AD30" s="41">
        <v>15468.729999999981</v>
      </c>
      <c r="AE30" s="58">
        <f t="shared" si="35"/>
        <v>-1.2679290000000001</v>
      </c>
      <c r="AF30" s="58">
        <f t="shared" si="36"/>
        <v>0</v>
      </c>
      <c r="AG30" s="58">
        <f t="shared" si="37"/>
        <v>0</v>
      </c>
      <c r="AH30" s="41">
        <f t="shared" si="38"/>
        <v>15468.733799999914</v>
      </c>
      <c r="AI30" s="41">
        <f t="shared" si="39"/>
        <v>0</v>
      </c>
      <c r="AJ30" s="41">
        <f t="shared" si="40"/>
        <v>0</v>
      </c>
      <c r="AK30" s="42">
        <v>0</v>
      </c>
      <c r="AL30" s="41">
        <v>15468.660000000149</v>
      </c>
      <c r="AM30" s="41">
        <v>-970539.50000000012</v>
      </c>
      <c r="AN30" s="64">
        <f t="shared" si="41"/>
        <v>-955070.84</v>
      </c>
      <c r="AO30" s="73">
        <f t="shared" si="42"/>
        <v>15468.733799999914</v>
      </c>
      <c r="AP30" s="73">
        <f t="shared" si="43"/>
        <v>0</v>
      </c>
    </row>
    <row r="31" spans="1:42" x14ac:dyDescent="0.25">
      <c r="B31" s="44" t="s">
        <v>357</v>
      </c>
      <c r="C31" s="32" t="s">
        <v>323</v>
      </c>
      <c r="D31" s="32" t="s">
        <v>324</v>
      </c>
      <c r="E31" s="32">
        <v>5</v>
      </c>
      <c r="F31" s="32" t="s">
        <v>333</v>
      </c>
      <c r="G31" s="33">
        <v>0.37642900000000001</v>
      </c>
      <c r="H31" s="34">
        <v>61.2</v>
      </c>
      <c r="I31" s="35" t="s">
        <v>321</v>
      </c>
      <c r="J31" s="36">
        <v>-4.849145</v>
      </c>
      <c r="K31" s="36">
        <v>7.6364150000000013</v>
      </c>
      <c r="L31" s="53">
        <f t="shared" si="28"/>
        <v>-296767.674</v>
      </c>
      <c r="M31" s="53">
        <f t="shared" si="29"/>
        <v>764116.27200000011</v>
      </c>
      <c r="N31" s="53">
        <f t="shared" si="30"/>
        <v>467348.59800000011</v>
      </c>
      <c r="O31" s="36">
        <v>0</v>
      </c>
      <c r="P31" s="36">
        <v>0.203179</v>
      </c>
      <c r="Q31" s="36">
        <f t="shared" si="31"/>
        <v>0</v>
      </c>
      <c r="R31" s="36">
        <f t="shared" si="32"/>
        <v>0.203179</v>
      </c>
      <c r="S31" s="36">
        <f>IF(C31&lt;&gt;"Offshore",0,IFERROR(VLOOKUP(D31,'Local Tariffs'!$A$4:$B$98,2,0),VLOOKUP(A31,'Local Tariffs'!$A$4:$B$98,2,0)))</f>
        <v>0</v>
      </c>
      <c r="T31" s="36">
        <f>IF(C31&lt;&gt;"Offshore",0,VLOOKUP(I31,'Local Tariffs'!$E$4:$F$38,2,0))</f>
        <v>0</v>
      </c>
      <c r="U31" s="53">
        <f t="shared" si="33"/>
        <v>12434.554800000002</v>
      </c>
      <c r="V31" s="53">
        <f t="shared" si="34"/>
        <v>0</v>
      </c>
      <c r="W31" s="36">
        <v>7.8395940000000017</v>
      </c>
      <c r="X31" s="37">
        <v>479783.15</v>
      </c>
      <c r="Y31" s="37">
        <v>-2.9999999969732016E-2</v>
      </c>
      <c r="Z31" s="38">
        <v>0</v>
      </c>
      <c r="AA31" s="39">
        <v>0</v>
      </c>
      <c r="AB31" s="40">
        <v>0</v>
      </c>
      <c r="AC31" s="41">
        <v>0</v>
      </c>
      <c r="AD31" s="41">
        <v>0</v>
      </c>
      <c r="AE31" s="58">
        <f t="shared" si="35"/>
        <v>0</v>
      </c>
      <c r="AF31" s="58">
        <f t="shared" si="36"/>
        <v>0</v>
      </c>
      <c r="AG31" s="58">
        <f t="shared" si="37"/>
        <v>0</v>
      </c>
      <c r="AH31" s="41">
        <f t="shared" si="38"/>
        <v>0</v>
      </c>
      <c r="AI31" s="41">
        <f t="shared" si="39"/>
        <v>0</v>
      </c>
      <c r="AJ31" s="41">
        <f t="shared" si="40"/>
        <v>0</v>
      </c>
      <c r="AK31" s="42">
        <v>0</v>
      </c>
      <c r="AL31" s="41">
        <v>-2.9999999969732016E-2</v>
      </c>
      <c r="AM31" s="41">
        <v>479783.18</v>
      </c>
      <c r="AN31" s="64">
        <f t="shared" si="41"/>
        <v>479783.15</v>
      </c>
      <c r="AO31" s="73">
        <f t="shared" si="42"/>
        <v>0</v>
      </c>
      <c r="AP31" s="73">
        <f t="shared" si="43"/>
        <v>0</v>
      </c>
    </row>
    <row r="32" spans="1:42" x14ac:dyDescent="0.25">
      <c r="B32" s="44" t="s">
        <v>358</v>
      </c>
      <c r="C32" s="32" t="s">
        <v>323</v>
      </c>
      <c r="D32" s="32" t="s">
        <v>358</v>
      </c>
      <c r="E32" s="32">
        <v>11</v>
      </c>
      <c r="F32" s="32" t="s">
        <v>328</v>
      </c>
      <c r="G32" s="33">
        <v>0.39187300000000003</v>
      </c>
      <c r="H32" s="34">
        <v>374.5</v>
      </c>
      <c r="I32" s="35" t="s">
        <v>359</v>
      </c>
      <c r="J32" s="36">
        <v>-4.849145</v>
      </c>
      <c r="K32" s="36">
        <v>5.9162949999999999</v>
      </c>
      <c r="L32" s="53">
        <f t="shared" si="28"/>
        <v>-1816004.8025</v>
      </c>
      <c r="M32" s="53">
        <f t="shared" si="29"/>
        <v>4031657.28</v>
      </c>
      <c r="N32" s="53">
        <f t="shared" si="30"/>
        <v>2215652.4775</v>
      </c>
      <c r="O32" s="36">
        <v>0.110981</v>
      </c>
      <c r="P32" s="36">
        <v>0.116232</v>
      </c>
      <c r="Q32" s="36">
        <f t="shared" si="31"/>
        <v>0.110981</v>
      </c>
      <c r="R32" s="36">
        <f t="shared" si="32"/>
        <v>0.116232</v>
      </c>
      <c r="S32" s="36">
        <f>IF(C32&lt;&gt;"Offshore",0,IFERROR(VLOOKUP(D32,'Local Tariffs'!$A$4:$B$98,2,0),VLOOKUP(A32,'Local Tariffs'!$A$4:$B$98,2,0)))</f>
        <v>0</v>
      </c>
      <c r="T32" s="36">
        <f>IF(C32&lt;&gt;"Offshore",0,VLOOKUP(I32,'Local Tariffs'!$E$4:$F$38,2,0))</f>
        <v>0</v>
      </c>
      <c r="U32" s="53">
        <f t="shared" si="33"/>
        <v>85091.268499999991</v>
      </c>
      <c r="V32" s="53">
        <f t="shared" si="34"/>
        <v>0</v>
      </c>
      <c r="W32" s="36">
        <v>6.1435079999999997</v>
      </c>
      <c r="X32" s="37">
        <v>2300743.75</v>
      </c>
      <c r="Y32" s="37">
        <v>-2.0000000018626451E-2</v>
      </c>
      <c r="Z32" s="38">
        <v>0</v>
      </c>
      <c r="AA32" s="39">
        <v>0</v>
      </c>
      <c r="AB32" s="40">
        <v>0</v>
      </c>
      <c r="AC32" s="41">
        <v>0</v>
      </c>
      <c r="AD32" s="41">
        <v>0</v>
      </c>
      <c r="AE32" s="58">
        <f t="shared" si="35"/>
        <v>0</v>
      </c>
      <c r="AF32" s="58">
        <f t="shared" si="36"/>
        <v>0</v>
      </c>
      <c r="AG32" s="58">
        <f t="shared" si="37"/>
        <v>0</v>
      </c>
      <c r="AH32" s="41">
        <f t="shared" si="38"/>
        <v>0</v>
      </c>
      <c r="AI32" s="41">
        <f t="shared" si="39"/>
        <v>0</v>
      </c>
      <c r="AJ32" s="41">
        <f t="shared" si="40"/>
        <v>0</v>
      </c>
      <c r="AK32" s="42">
        <v>0</v>
      </c>
      <c r="AL32" s="41">
        <v>-2.0000000018626451E-2</v>
      </c>
      <c r="AM32" s="41">
        <v>2300743.77</v>
      </c>
      <c r="AN32" s="64">
        <f t="shared" si="41"/>
        <v>2300743.75</v>
      </c>
      <c r="AO32" s="73">
        <f t="shared" si="42"/>
        <v>0</v>
      </c>
      <c r="AP32" s="73">
        <f t="shared" si="43"/>
        <v>0</v>
      </c>
    </row>
    <row r="33" spans="2:42" x14ac:dyDescent="0.25">
      <c r="B33" s="44" t="s">
        <v>360</v>
      </c>
      <c r="C33" s="32" t="s">
        <v>323</v>
      </c>
      <c r="D33" s="32" t="s">
        <v>360</v>
      </c>
      <c r="E33" s="32">
        <v>11</v>
      </c>
      <c r="F33" s="32" t="s">
        <v>328</v>
      </c>
      <c r="G33" s="33">
        <v>0.37589299999999998</v>
      </c>
      <c r="H33" s="34">
        <v>128.80000000000001</v>
      </c>
      <c r="I33" s="35" t="s">
        <v>359</v>
      </c>
      <c r="J33" s="36">
        <v>-4.849145</v>
      </c>
      <c r="K33" s="36">
        <v>5.7232690000000002</v>
      </c>
      <c r="L33" s="53">
        <f t="shared" si="28"/>
        <v>-624569.87600000005</v>
      </c>
      <c r="M33" s="53">
        <f t="shared" si="29"/>
        <v>1361726.9232000001</v>
      </c>
      <c r="N33" s="53">
        <f t="shared" si="30"/>
        <v>737157.04720000003</v>
      </c>
      <c r="O33" s="36">
        <v>0.12834400000000001</v>
      </c>
      <c r="P33" s="36">
        <v>0.116232</v>
      </c>
      <c r="Q33" s="36">
        <f t="shared" si="31"/>
        <v>0.12834400000000001</v>
      </c>
      <c r="R33" s="36">
        <f t="shared" si="32"/>
        <v>0.116232</v>
      </c>
      <c r="S33" s="36">
        <f>IF(C33&lt;&gt;"Offshore",0,IFERROR(VLOOKUP(D33,'Local Tariffs'!$A$4:$B$98,2,0),VLOOKUP(A33,'Local Tariffs'!$A$4:$B$98,2,0)))</f>
        <v>0</v>
      </c>
      <c r="T33" s="36">
        <f>IF(C33&lt;&gt;"Offshore",0,VLOOKUP(I33,'Local Tariffs'!$E$4:$F$38,2,0))</f>
        <v>0</v>
      </c>
      <c r="U33" s="53">
        <f t="shared" si="33"/>
        <v>31501.388800000004</v>
      </c>
      <c r="V33" s="53">
        <f t="shared" si="34"/>
        <v>0</v>
      </c>
      <c r="W33" s="36">
        <v>5.9678450000000005</v>
      </c>
      <c r="X33" s="37">
        <v>768658.44</v>
      </c>
      <c r="Y33" s="37">
        <v>5.9999999939464033E-2</v>
      </c>
      <c r="Z33" s="38">
        <v>0</v>
      </c>
      <c r="AA33" s="39">
        <v>0</v>
      </c>
      <c r="AB33" s="40">
        <v>0</v>
      </c>
      <c r="AC33" s="41">
        <v>0</v>
      </c>
      <c r="AD33" s="41">
        <v>0</v>
      </c>
      <c r="AE33" s="58">
        <f t="shared" si="35"/>
        <v>0</v>
      </c>
      <c r="AF33" s="58">
        <f t="shared" si="36"/>
        <v>0</v>
      </c>
      <c r="AG33" s="58">
        <f t="shared" si="37"/>
        <v>0</v>
      </c>
      <c r="AH33" s="41">
        <f t="shared" si="38"/>
        <v>0</v>
      </c>
      <c r="AI33" s="41">
        <f t="shared" si="39"/>
        <v>0</v>
      </c>
      <c r="AJ33" s="41">
        <f t="shared" si="40"/>
        <v>0</v>
      </c>
      <c r="AK33" s="42">
        <v>0</v>
      </c>
      <c r="AL33" s="41">
        <v>5.9999999939464033E-2</v>
      </c>
      <c r="AM33" s="41">
        <v>768658.38</v>
      </c>
      <c r="AN33" s="64">
        <f t="shared" si="41"/>
        <v>768658.44</v>
      </c>
      <c r="AO33" s="73">
        <f t="shared" si="42"/>
        <v>0</v>
      </c>
      <c r="AP33" s="73">
        <f t="shared" si="43"/>
        <v>0</v>
      </c>
    </row>
    <row r="34" spans="2:42" x14ac:dyDescent="0.25">
      <c r="B34" s="44" t="s">
        <v>361</v>
      </c>
      <c r="C34" s="32" t="s">
        <v>323</v>
      </c>
      <c r="D34" s="32" t="s">
        <v>324</v>
      </c>
      <c r="E34" s="32">
        <v>16</v>
      </c>
      <c r="F34" s="32" t="s">
        <v>340</v>
      </c>
      <c r="G34" s="33">
        <v>0.22470200000000001</v>
      </c>
      <c r="H34" s="34">
        <v>1380</v>
      </c>
      <c r="I34" s="35" t="s">
        <v>362</v>
      </c>
      <c r="J34" s="36">
        <v>-4.849145</v>
      </c>
      <c r="K34" s="36">
        <v>-1.4042210000000002</v>
      </c>
      <c r="L34" s="53">
        <f t="shared" si="28"/>
        <v>-6691820.0999999996</v>
      </c>
      <c r="M34" s="53">
        <f t="shared" si="29"/>
        <v>4753995.1199999992</v>
      </c>
      <c r="N34" s="53">
        <f t="shared" si="30"/>
        <v>-1937824.9800000004</v>
      </c>
      <c r="O34" s="36">
        <v>0</v>
      </c>
      <c r="P34" s="36">
        <v>0.43671900000000002</v>
      </c>
      <c r="Q34" s="36">
        <f t="shared" si="31"/>
        <v>0</v>
      </c>
      <c r="R34" s="36">
        <f t="shared" si="32"/>
        <v>0.43671900000000002</v>
      </c>
      <c r="S34" s="36">
        <f>IF(C34&lt;&gt;"Offshore",0,IFERROR(VLOOKUP(D34,'Local Tariffs'!$A$4:$B$98,2,0),VLOOKUP(A34,'Local Tariffs'!$A$4:$B$98,2,0)))</f>
        <v>0</v>
      </c>
      <c r="T34" s="36">
        <f>IF(C34&lt;&gt;"Offshore",0,VLOOKUP(I34,'Local Tariffs'!$E$4:$F$38,2,0))</f>
        <v>0</v>
      </c>
      <c r="U34" s="53">
        <f t="shared" si="33"/>
        <v>602672.22000000009</v>
      </c>
      <c r="V34" s="53">
        <f t="shared" si="34"/>
        <v>0</v>
      </c>
      <c r="W34" s="36">
        <v>-0.96750200000000008</v>
      </c>
      <c r="X34" s="37">
        <v>-1335152.76</v>
      </c>
      <c r="Y34" s="37">
        <v>-0.37000000034458935</v>
      </c>
      <c r="Z34" s="38">
        <v>-1.4042210000000002</v>
      </c>
      <c r="AA34" s="39">
        <v>-1937824.98</v>
      </c>
      <c r="AB34" s="40">
        <v>1380</v>
      </c>
      <c r="AC34" s="41">
        <v>-1937824.98</v>
      </c>
      <c r="AD34" s="41">
        <v>0</v>
      </c>
      <c r="AE34" s="58">
        <f t="shared" si="35"/>
        <v>-1.4042210000000002</v>
      </c>
      <c r="AF34" s="58">
        <f t="shared" si="36"/>
        <v>0</v>
      </c>
      <c r="AG34" s="58">
        <f t="shared" si="37"/>
        <v>0</v>
      </c>
      <c r="AH34" s="41">
        <f t="shared" si="38"/>
        <v>0</v>
      </c>
      <c r="AI34" s="41">
        <f t="shared" si="39"/>
        <v>0</v>
      </c>
      <c r="AJ34" s="41">
        <f t="shared" si="40"/>
        <v>0</v>
      </c>
      <c r="AK34" s="42">
        <v>0</v>
      </c>
      <c r="AL34" s="41">
        <v>-0.37000000034458935</v>
      </c>
      <c r="AM34" s="41">
        <v>-1335152.3899999997</v>
      </c>
      <c r="AN34" s="64">
        <f t="shared" si="41"/>
        <v>-1335152.76</v>
      </c>
      <c r="AO34" s="73">
        <f t="shared" si="42"/>
        <v>0</v>
      </c>
      <c r="AP34" s="73">
        <f t="shared" si="43"/>
        <v>0</v>
      </c>
    </row>
    <row r="35" spans="2:42" x14ac:dyDescent="0.25">
      <c r="B35" s="44" t="s">
        <v>363</v>
      </c>
      <c r="C35" s="32" t="s">
        <v>2</v>
      </c>
      <c r="D35" s="32" t="s">
        <v>324</v>
      </c>
      <c r="E35" s="32">
        <v>18</v>
      </c>
      <c r="F35" s="32" t="s">
        <v>340</v>
      </c>
      <c r="G35" s="33">
        <v>5.3605E-2</v>
      </c>
      <c r="H35" s="34">
        <v>401</v>
      </c>
      <c r="I35" s="35" t="s">
        <v>364</v>
      </c>
      <c r="J35" s="36">
        <v>-4.849145</v>
      </c>
      <c r="K35" s="36">
        <v>-3.7649309999999998</v>
      </c>
      <c r="L35" s="53">
        <f t="shared" si="28"/>
        <v>-1944507.145</v>
      </c>
      <c r="M35" s="53">
        <f t="shared" si="29"/>
        <v>434769.81400000013</v>
      </c>
      <c r="N35" s="53">
        <f t="shared" si="30"/>
        <v>-1509737.3309999998</v>
      </c>
      <c r="O35" s="36">
        <v>0</v>
      </c>
      <c r="P35" s="36">
        <v>0</v>
      </c>
      <c r="Q35" s="36">
        <f t="shared" si="31"/>
        <v>0</v>
      </c>
      <c r="R35" s="36">
        <f t="shared" si="32"/>
        <v>0</v>
      </c>
      <c r="S35" s="36">
        <f>IF(C35&lt;&gt;"Offshore",0,IFERROR(VLOOKUP(D35,'Local Tariffs'!$A$4:$B$98,2,0),VLOOKUP(A35,'Local Tariffs'!$A$4:$B$98,2,0)))</f>
        <v>0</v>
      </c>
      <c r="T35" s="36">
        <f>IF(C35&lt;&gt;"Offshore",0,VLOOKUP(I35,'Local Tariffs'!$E$4:$F$38,2,0))</f>
        <v>0</v>
      </c>
      <c r="U35" s="53">
        <f t="shared" si="33"/>
        <v>0</v>
      </c>
      <c r="V35" s="53">
        <f t="shared" si="34"/>
        <v>0</v>
      </c>
      <c r="W35" s="36">
        <v>-3.7649309999999998</v>
      </c>
      <c r="X35" s="37">
        <v>-1509737.33</v>
      </c>
      <c r="Y35" s="37">
        <v>-0.15000000060535967</v>
      </c>
      <c r="Z35" s="38">
        <v>-3.7649309999999998</v>
      </c>
      <c r="AA35" s="39">
        <v>-1509737.33</v>
      </c>
      <c r="AB35" s="40">
        <v>388.61866666666668</v>
      </c>
      <c r="AC35" s="41">
        <v>-1463122.47</v>
      </c>
      <c r="AD35" s="41">
        <v>46614.860000000102</v>
      </c>
      <c r="AE35" s="58">
        <f t="shared" si="35"/>
        <v>-3.7649309999999998</v>
      </c>
      <c r="AF35" s="58">
        <f t="shared" si="36"/>
        <v>0</v>
      </c>
      <c r="AG35" s="58">
        <f t="shared" si="37"/>
        <v>0</v>
      </c>
      <c r="AH35" s="41">
        <f t="shared" si="38"/>
        <v>46614.865687999933</v>
      </c>
      <c r="AI35" s="41">
        <f t="shared" si="39"/>
        <v>0</v>
      </c>
      <c r="AJ35" s="41">
        <f t="shared" si="40"/>
        <v>0</v>
      </c>
      <c r="AK35" s="42">
        <v>0</v>
      </c>
      <c r="AL35" s="41">
        <v>46614.709999999497</v>
      </c>
      <c r="AM35" s="41">
        <v>-1509737.1799999995</v>
      </c>
      <c r="AN35" s="64">
        <f t="shared" si="41"/>
        <v>-1463122.47</v>
      </c>
      <c r="AO35" s="73">
        <f t="shared" si="42"/>
        <v>46614.865687999933</v>
      </c>
      <c r="AP35" s="73">
        <f t="shared" si="43"/>
        <v>0</v>
      </c>
    </row>
    <row r="36" spans="2:42" x14ac:dyDescent="0.25">
      <c r="B36" s="44" t="s">
        <v>365</v>
      </c>
      <c r="C36" s="32" t="s">
        <v>323</v>
      </c>
      <c r="D36" s="32" t="s">
        <v>365</v>
      </c>
      <c r="E36" s="32">
        <v>1</v>
      </c>
      <c r="F36" s="32" t="s">
        <v>328</v>
      </c>
      <c r="G36" s="33">
        <v>0.36171399999999998</v>
      </c>
      <c r="H36" s="34">
        <v>69</v>
      </c>
      <c r="I36" s="35" t="s">
        <v>321</v>
      </c>
      <c r="J36" s="36">
        <v>-4.849145</v>
      </c>
      <c r="K36" s="36">
        <v>6.170396000000002</v>
      </c>
      <c r="L36" s="53">
        <f t="shared" si="28"/>
        <v>-334591.005</v>
      </c>
      <c r="M36" s="53">
        <f t="shared" si="29"/>
        <v>760348.32900000014</v>
      </c>
      <c r="N36" s="53">
        <f t="shared" si="30"/>
        <v>425757.32400000014</v>
      </c>
      <c r="O36" s="36">
        <v>2.9317489999999999</v>
      </c>
      <c r="P36" s="36">
        <v>0.203179</v>
      </c>
      <c r="Q36" s="36">
        <f t="shared" si="31"/>
        <v>2.9317489999999999</v>
      </c>
      <c r="R36" s="36">
        <f t="shared" si="32"/>
        <v>0.203179</v>
      </c>
      <c r="S36" s="36">
        <f>IF(C36&lt;&gt;"Offshore",0,IFERROR(VLOOKUP(D36,'Local Tariffs'!$A$4:$B$98,2,0),VLOOKUP(A36,'Local Tariffs'!$A$4:$B$98,2,0)))</f>
        <v>0</v>
      </c>
      <c r="T36" s="36">
        <f>IF(C36&lt;&gt;"Offshore",0,VLOOKUP(I36,'Local Tariffs'!$E$4:$F$38,2,0))</f>
        <v>0</v>
      </c>
      <c r="U36" s="53">
        <f t="shared" si="33"/>
        <v>216310.03200000001</v>
      </c>
      <c r="V36" s="53">
        <f t="shared" si="34"/>
        <v>0</v>
      </c>
      <c r="W36" s="36">
        <v>9.3053240000000024</v>
      </c>
      <c r="X36" s="37">
        <v>642067.36</v>
      </c>
      <c r="Y36" s="37">
        <v>4.0000000037252903E-2</v>
      </c>
      <c r="Z36" s="38">
        <v>0</v>
      </c>
      <c r="AA36" s="39">
        <v>0</v>
      </c>
      <c r="AB36" s="40">
        <v>0</v>
      </c>
      <c r="AC36" s="41">
        <v>0</v>
      </c>
      <c r="AD36" s="41">
        <v>0</v>
      </c>
      <c r="AE36" s="58">
        <f t="shared" si="35"/>
        <v>0</v>
      </c>
      <c r="AF36" s="58">
        <f t="shared" si="36"/>
        <v>0</v>
      </c>
      <c r="AG36" s="58">
        <f t="shared" si="37"/>
        <v>0</v>
      </c>
      <c r="AH36" s="41">
        <f t="shared" si="38"/>
        <v>0</v>
      </c>
      <c r="AI36" s="41">
        <f t="shared" si="39"/>
        <v>0</v>
      </c>
      <c r="AJ36" s="41">
        <f t="shared" si="40"/>
        <v>0</v>
      </c>
      <c r="AK36" s="42">
        <v>0</v>
      </c>
      <c r="AL36" s="41">
        <v>4.0000000037252903E-2</v>
      </c>
      <c r="AM36" s="41">
        <v>642067.31999999995</v>
      </c>
      <c r="AN36" s="64">
        <f t="shared" si="41"/>
        <v>642067.36</v>
      </c>
      <c r="AO36" s="73">
        <f t="shared" si="42"/>
        <v>0</v>
      </c>
      <c r="AP36" s="73">
        <f t="shared" si="43"/>
        <v>0</v>
      </c>
    </row>
    <row r="37" spans="2:42" x14ac:dyDescent="0.25">
      <c r="B37" s="44" t="s">
        <v>366</v>
      </c>
      <c r="C37" s="32" t="s">
        <v>323</v>
      </c>
      <c r="D37" s="32" t="s">
        <v>366</v>
      </c>
      <c r="E37" s="32">
        <v>1</v>
      </c>
      <c r="F37" s="32" t="s">
        <v>328</v>
      </c>
      <c r="G37" s="33">
        <v>0.311504</v>
      </c>
      <c r="H37" s="34">
        <v>47.5</v>
      </c>
      <c r="I37" s="35" t="s">
        <v>331</v>
      </c>
      <c r="J37" s="36">
        <v>-4.849145</v>
      </c>
      <c r="K37" s="36">
        <v>5.1221820000000005</v>
      </c>
      <c r="L37" s="53">
        <f t="shared" si="28"/>
        <v>-230334.38749999998</v>
      </c>
      <c r="M37" s="53">
        <f t="shared" si="29"/>
        <v>473638.03250000003</v>
      </c>
      <c r="N37" s="53">
        <f t="shared" si="30"/>
        <v>243303.64500000005</v>
      </c>
      <c r="O37" s="36">
        <v>1.685397</v>
      </c>
      <c r="P37" s="36">
        <v>0.44758700000000001</v>
      </c>
      <c r="Q37" s="36">
        <f t="shared" si="31"/>
        <v>1.685397</v>
      </c>
      <c r="R37" s="36">
        <f t="shared" si="32"/>
        <v>0.44758700000000001</v>
      </c>
      <c r="S37" s="36">
        <f>IF(C37&lt;&gt;"Offshore",0,IFERROR(VLOOKUP(D37,'Local Tariffs'!$A$4:$B$98,2,0),VLOOKUP(A37,'Local Tariffs'!$A$4:$B$98,2,0)))</f>
        <v>0</v>
      </c>
      <c r="T37" s="36">
        <f>IF(C37&lt;&gt;"Offshore",0,VLOOKUP(I37,'Local Tariffs'!$E$4:$F$38,2,0))</f>
        <v>0</v>
      </c>
      <c r="U37" s="53">
        <f t="shared" si="33"/>
        <v>101316.73999999999</v>
      </c>
      <c r="V37" s="53">
        <f t="shared" si="34"/>
        <v>0</v>
      </c>
      <c r="W37" s="36">
        <v>7.2551660000000009</v>
      </c>
      <c r="X37" s="37">
        <v>344620.39</v>
      </c>
      <c r="Y37" s="37">
        <v>1.0000000067520887E-2</v>
      </c>
      <c r="Z37" s="38">
        <v>0</v>
      </c>
      <c r="AA37" s="39">
        <v>0</v>
      </c>
      <c r="AB37" s="40">
        <v>0</v>
      </c>
      <c r="AC37" s="41">
        <v>0</v>
      </c>
      <c r="AD37" s="41">
        <v>0</v>
      </c>
      <c r="AE37" s="58">
        <f t="shared" si="35"/>
        <v>0</v>
      </c>
      <c r="AF37" s="58">
        <f t="shared" si="36"/>
        <v>0</v>
      </c>
      <c r="AG37" s="58">
        <f t="shared" si="37"/>
        <v>0</v>
      </c>
      <c r="AH37" s="41">
        <f t="shared" si="38"/>
        <v>0</v>
      </c>
      <c r="AI37" s="41">
        <f t="shared" si="39"/>
        <v>0</v>
      </c>
      <c r="AJ37" s="41">
        <f t="shared" si="40"/>
        <v>0</v>
      </c>
      <c r="AK37" s="42">
        <v>1422.54</v>
      </c>
      <c r="AL37" s="41">
        <v>1422.5500000000675</v>
      </c>
      <c r="AM37" s="41">
        <v>344620.37999999995</v>
      </c>
      <c r="AN37" s="64">
        <f t="shared" si="41"/>
        <v>346042.93</v>
      </c>
      <c r="AO37" s="73">
        <f t="shared" si="42"/>
        <v>0</v>
      </c>
      <c r="AP37" s="73">
        <f t="shared" si="43"/>
        <v>0</v>
      </c>
    </row>
    <row r="38" spans="2:42" x14ac:dyDescent="0.25">
      <c r="B38" s="44" t="s">
        <v>367</v>
      </c>
      <c r="C38" s="32" t="s">
        <v>323</v>
      </c>
      <c r="D38" s="32" t="s">
        <v>367</v>
      </c>
      <c r="E38" s="32">
        <v>24</v>
      </c>
      <c r="F38" s="32" t="s">
        <v>340</v>
      </c>
      <c r="G38" s="33">
        <v>0.224633</v>
      </c>
      <c r="H38" s="34">
        <v>800</v>
      </c>
      <c r="I38" s="35" t="s">
        <v>356</v>
      </c>
      <c r="J38" s="36">
        <v>-4.849145</v>
      </c>
      <c r="K38" s="36">
        <v>-8.0040940000000003</v>
      </c>
      <c r="L38" s="53">
        <f t="shared" si="28"/>
        <v>-3879316</v>
      </c>
      <c r="M38" s="53">
        <f t="shared" si="29"/>
        <v>-2523959.2000000002</v>
      </c>
      <c r="N38" s="53">
        <f t="shared" si="30"/>
        <v>-6403275.2000000002</v>
      </c>
      <c r="O38" s="36">
        <v>4.9976E-2</v>
      </c>
      <c r="P38" s="36">
        <v>0.201402</v>
      </c>
      <c r="Q38" s="36">
        <f t="shared" si="31"/>
        <v>4.9976E-2</v>
      </c>
      <c r="R38" s="36">
        <f t="shared" si="32"/>
        <v>0.201402</v>
      </c>
      <c r="S38" s="36">
        <f>IF(C38&lt;&gt;"Offshore",0,IFERROR(VLOOKUP(D38,'Local Tariffs'!$A$4:$B$98,2,0),VLOOKUP(A38,'Local Tariffs'!$A$4:$B$98,2,0)))</f>
        <v>0</v>
      </c>
      <c r="T38" s="36">
        <f>IF(C38&lt;&gt;"Offshore",0,VLOOKUP(I38,'Local Tariffs'!$E$4:$F$38,2,0))</f>
        <v>0</v>
      </c>
      <c r="U38" s="53">
        <f t="shared" si="33"/>
        <v>201102.4</v>
      </c>
      <c r="V38" s="53">
        <f t="shared" si="34"/>
        <v>0</v>
      </c>
      <c r="W38" s="36">
        <v>-7.7527160000000004</v>
      </c>
      <c r="X38" s="37">
        <v>-6202172.7999999998</v>
      </c>
      <c r="Y38" s="37">
        <v>0.2099999999627471</v>
      </c>
      <c r="Z38" s="38">
        <v>-8.0040940000000003</v>
      </c>
      <c r="AA38" s="39">
        <v>-6403275.2000000002</v>
      </c>
      <c r="AB38" s="40">
        <v>773.56666666666661</v>
      </c>
      <c r="AC38" s="41">
        <v>-6191700.3200000003</v>
      </c>
      <c r="AD38" s="41">
        <v>211574.87999999989</v>
      </c>
      <c r="AE38" s="58">
        <f t="shared" si="35"/>
        <v>-8.0040940000000003</v>
      </c>
      <c r="AF38" s="58">
        <f t="shared" si="36"/>
        <v>0</v>
      </c>
      <c r="AG38" s="58">
        <f t="shared" si="37"/>
        <v>0</v>
      </c>
      <c r="AH38" s="41">
        <f t="shared" si="38"/>
        <v>211574.88473333381</v>
      </c>
      <c r="AI38" s="41">
        <f t="shared" si="39"/>
        <v>0</v>
      </c>
      <c r="AJ38" s="41">
        <f t="shared" si="40"/>
        <v>0</v>
      </c>
      <c r="AK38" s="42">
        <v>0</v>
      </c>
      <c r="AL38" s="41">
        <v>211575.08999999985</v>
      </c>
      <c r="AM38" s="41">
        <v>-6202173.0099999998</v>
      </c>
      <c r="AN38" s="64">
        <f t="shared" si="41"/>
        <v>-5990597.9199999999</v>
      </c>
      <c r="AO38" s="73">
        <f t="shared" si="42"/>
        <v>128179.06616666696</v>
      </c>
      <c r="AP38" s="73">
        <f t="shared" si="43"/>
        <v>83395.818566666858</v>
      </c>
    </row>
    <row r="39" spans="2:42" x14ac:dyDescent="0.25">
      <c r="B39" s="44" t="s">
        <v>368</v>
      </c>
      <c r="C39" s="32" t="s">
        <v>323</v>
      </c>
      <c r="D39" s="32" t="s">
        <v>324</v>
      </c>
      <c r="E39" s="32">
        <v>16</v>
      </c>
      <c r="F39" s="32" t="s">
        <v>325</v>
      </c>
      <c r="G39" s="33">
        <v>0.236708</v>
      </c>
      <c r="H39" s="34">
        <v>0</v>
      </c>
      <c r="I39" s="35" t="s">
        <v>356</v>
      </c>
      <c r="J39" s="36">
        <v>-4.849145</v>
      </c>
      <c r="K39" s="36">
        <v>-1.3999460000000004</v>
      </c>
      <c r="L39" s="53">
        <f t="shared" si="28"/>
        <v>0</v>
      </c>
      <c r="M39" s="53">
        <f t="shared" si="29"/>
        <v>0</v>
      </c>
      <c r="N39" s="53">
        <f t="shared" si="30"/>
        <v>0</v>
      </c>
      <c r="O39" s="36">
        <v>0</v>
      </c>
      <c r="P39" s="36">
        <v>0.201402</v>
      </c>
      <c r="Q39" s="36">
        <f t="shared" si="31"/>
        <v>0</v>
      </c>
      <c r="R39" s="36">
        <f t="shared" si="32"/>
        <v>0.201402</v>
      </c>
      <c r="S39" s="36">
        <f>IF(C39&lt;&gt;"Offshore",0,IFERROR(VLOOKUP(D39,'Local Tariffs'!$A$4:$B$98,2,0),VLOOKUP(A39,'Local Tariffs'!$A$4:$B$98,2,0)))</f>
        <v>0</v>
      </c>
      <c r="T39" s="36">
        <f>IF(C39&lt;&gt;"Offshore",0,VLOOKUP(I39,'Local Tariffs'!$E$4:$F$38,2,0))</f>
        <v>0</v>
      </c>
      <c r="U39" s="53">
        <f t="shared" si="33"/>
        <v>0</v>
      </c>
      <c r="V39" s="53">
        <f t="shared" si="34"/>
        <v>0</v>
      </c>
      <c r="W39" s="36">
        <v>-1.1985440000000003</v>
      </c>
      <c r="X39" s="37">
        <v>0</v>
      </c>
      <c r="Y39" s="37">
        <v>0</v>
      </c>
      <c r="Z39" s="38">
        <v>-1.3999460000000004</v>
      </c>
      <c r="AA39" s="39">
        <v>0</v>
      </c>
      <c r="AB39" s="40">
        <v>0</v>
      </c>
      <c r="AC39" s="41">
        <v>0</v>
      </c>
      <c r="AD39" s="41">
        <v>0</v>
      </c>
      <c r="AE39" s="58">
        <f t="shared" si="35"/>
        <v>-1.3999460000000004</v>
      </c>
      <c r="AF39" s="58">
        <f t="shared" si="36"/>
        <v>0</v>
      </c>
      <c r="AG39" s="58">
        <f t="shared" si="37"/>
        <v>0</v>
      </c>
      <c r="AH39" s="41">
        <f t="shared" si="38"/>
        <v>0</v>
      </c>
      <c r="AI39" s="41">
        <f t="shared" si="39"/>
        <v>0</v>
      </c>
      <c r="AJ39" s="41">
        <f t="shared" si="40"/>
        <v>0</v>
      </c>
      <c r="AK39" s="42">
        <v>64269.17</v>
      </c>
      <c r="AL39" s="41">
        <v>64269.17</v>
      </c>
      <c r="AM39" s="41">
        <v>0</v>
      </c>
      <c r="AN39" s="64">
        <f t="shared" si="41"/>
        <v>64269.17</v>
      </c>
      <c r="AO39" s="73">
        <f t="shared" si="42"/>
        <v>0</v>
      </c>
      <c r="AP39" s="73">
        <f t="shared" si="43"/>
        <v>0</v>
      </c>
    </row>
    <row r="40" spans="2:42" x14ac:dyDescent="0.25">
      <c r="B40" s="44" t="s">
        <v>369</v>
      </c>
      <c r="C40" s="32" t="s">
        <v>323</v>
      </c>
      <c r="D40" s="32" t="s">
        <v>324</v>
      </c>
      <c r="E40" s="32">
        <v>16</v>
      </c>
      <c r="F40" s="32" t="s">
        <v>340</v>
      </c>
      <c r="G40" s="33">
        <v>0.51620699999999997</v>
      </c>
      <c r="H40" s="34">
        <v>445</v>
      </c>
      <c r="I40" s="35" t="s">
        <v>356</v>
      </c>
      <c r="J40" s="36">
        <v>-4.849145</v>
      </c>
      <c r="K40" s="36">
        <v>-1.3004290000000003</v>
      </c>
      <c r="L40" s="53">
        <f t="shared" si="28"/>
        <v>-2157869.5249999999</v>
      </c>
      <c r="M40" s="53">
        <f t="shared" si="29"/>
        <v>1579178.6199999999</v>
      </c>
      <c r="N40" s="53">
        <f t="shared" si="30"/>
        <v>-578690.90500000003</v>
      </c>
      <c r="O40" s="36">
        <v>0</v>
      </c>
      <c r="P40" s="36">
        <v>0.201402</v>
      </c>
      <c r="Q40" s="36">
        <f t="shared" si="31"/>
        <v>0</v>
      </c>
      <c r="R40" s="36">
        <f t="shared" si="32"/>
        <v>0.201402</v>
      </c>
      <c r="S40" s="36">
        <f>IF(C40&lt;&gt;"Offshore",0,IFERROR(VLOOKUP(D40,'Local Tariffs'!$A$4:$B$98,2,0),VLOOKUP(A40,'Local Tariffs'!$A$4:$B$98,2,0)))</f>
        <v>0</v>
      </c>
      <c r="T40" s="36">
        <f>IF(C40&lt;&gt;"Offshore",0,VLOOKUP(I40,'Local Tariffs'!$E$4:$F$38,2,0))</f>
        <v>0</v>
      </c>
      <c r="U40" s="53">
        <f t="shared" si="33"/>
        <v>89623.89</v>
      </c>
      <c r="V40" s="53">
        <f t="shared" si="34"/>
        <v>0</v>
      </c>
      <c r="W40" s="36">
        <v>-1.0990270000000002</v>
      </c>
      <c r="X40" s="37">
        <v>-489067.02</v>
      </c>
      <c r="Y40" s="37">
        <v>-3.9999999920837581E-2</v>
      </c>
      <c r="Z40" s="38">
        <v>-1.3004290000000003</v>
      </c>
      <c r="AA40" s="39">
        <v>-578690.91</v>
      </c>
      <c r="AB40" s="40">
        <v>434.70000000000005</v>
      </c>
      <c r="AC40" s="41">
        <v>-565296.49</v>
      </c>
      <c r="AD40" s="41">
        <v>13394.420000000042</v>
      </c>
      <c r="AE40" s="58">
        <f t="shared" si="35"/>
        <v>-1.3004290000000003</v>
      </c>
      <c r="AF40" s="58">
        <f t="shared" si="36"/>
        <v>0</v>
      </c>
      <c r="AG40" s="58">
        <f t="shared" si="37"/>
        <v>0</v>
      </c>
      <c r="AH40" s="41">
        <f t="shared" si="38"/>
        <v>13394.418699999944</v>
      </c>
      <c r="AI40" s="41">
        <f t="shared" si="39"/>
        <v>0</v>
      </c>
      <c r="AJ40" s="41">
        <f t="shared" si="40"/>
        <v>0</v>
      </c>
      <c r="AK40" s="42">
        <v>0</v>
      </c>
      <c r="AL40" s="41">
        <v>13394.380000000121</v>
      </c>
      <c r="AM40" s="41">
        <v>-489066.9800000001</v>
      </c>
      <c r="AN40" s="64">
        <f t="shared" si="41"/>
        <v>-475672.6</v>
      </c>
      <c r="AO40" s="73">
        <f t="shared" si="42"/>
        <v>13394.418699999944</v>
      </c>
      <c r="AP40" s="73">
        <f t="shared" si="43"/>
        <v>0</v>
      </c>
    </row>
    <row r="41" spans="2:42" x14ac:dyDescent="0.25">
      <c r="B41" s="44" t="s">
        <v>370</v>
      </c>
      <c r="C41" s="32" t="s">
        <v>323</v>
      </c>
      <c r="D41" s="32" t="s">
        <v>324</v>
      </c>
      <c r="E41" s="32">
        <v>7</v>
      </c>
      <c r="F41" s="32" t="s">
        <v>328</v>
      </c>
      <c r="G41" s="33">
        <v>0.49787500000000001</v>
      </c>
      <c r="H41" s="34">
        <v>20.5</v>
      </c>
      <c r="I41" s="35" t="s">
        <v>321</v>
      </c>
      <c r="J41" s="36">
        <v>-4.849145</v>
      </c>
      <c r="K41" s="36">
        <v>14.494104000000002</v>
      </c>
      <c r="L41" s="53">
        <f t="shared" si="28"/>
        <v>-99407.472500000003</v>
      </c>
      <c r="M41" s="53">
        <f t="shared" si="29"/>
        <v>396536.60450000002</v>
      </c>
      <c r="N41" s="53">
        <f t="shared" si="30"/>
        <v>297129.13199999998</v>
      </c>
      <c r="O41" s="36">
        <v>0</v>
      </c>
      <c r="P41" s="36">
        <v>0.203179</v>
      </c>
      <c r="Q41" s="36">
        <f t="shared" si="31"/>
        <v>0</v>
      </c>
      <c r="R41" s="36">
        <f t="shared" si="32"/>
        <v>0.203179</v>
      </c>
      <c r="S41" s="36">
        <f>IF(C41&lt;&gt;"Offshore",0,IFERROR(VLOOKUP(D41,'Local Tariffs'!$A$4:$B$98,2,0),VLOOKUP(A41,'Local Tariffs'!$A$4:$B$98,2,0)))</f>
        <v>0</v>
      </c>
      <c r="T41" s="36">
        <f>IF(C41&lt;&gt;"Offshore",0,VLOOKUP(I41,'Local Tariffs'!$E$4:$F$38,2,0))</f>
        <v>0</v>
      </c>
      <c r="U41" s="53">
        <f t="shared" si="33"/>
        <v>4165.1695</v>
      </c>
      <c r="V41" s="53">
        <f t="shared" si="34"/>
        <v>0</v>
      </c>
      <c r="W41" s="36">
        <v>14.697283000000002</v>
      </c>
      <c r="X41" s="37">
        <v>301294.3</v>
      </c>
      <c r="Y41" s="37">
        <v>-9.9999999511055648E-3</v>
      </c>
      <c r="Z41" s="38">
        <v>0</v>
      </c>
      <c r="AA41" s="39">
        <v>0</v>
      </c>
      <c r="AB41" s="40">
        <v>0</v>
      </c>
      <c r="AC41" s="41">
        <v>0</v>
      </c>
      <c r="AD41" s="41">
        <v>0</v>
      </c>
      <c r="AE41" s="58">
        <f t="shared" si="35"/>
        <v>0</v>
      </c>
      <c r="AF41" s="58">
        <f t="shared" si="36"/>
        <v>0</v>
      </c>
      <c r="AG41" s="58">
        <f t="shared" si="37"/>
        <v>0</v>
      </c>
      <c r="AH41" s="41">
        <f t="shared" si="38"/>
        <v>0</v>
      </c>
      <c r="AI41" s="41">
        <f t="shared" si="39"/>
        <v>0</v>
      </c>
      <c r="AJ41" s="41">
        <f t="shared" si="40"/>
        <v>0</v>
      </c>
      <c r="AK41" s="42">
        <v>0</v>
      </c>
      <c r="AL41" s="41">
        <v>-9.9999999511055648E-3</v>
      </c>
      <c r="AM41" s="41">
        <v>301294.30999999994</v>
      </c>
      <c r="AN41" s="64">
        <f t="shared" si="41"/>
        <v>301294.3</v>
      </c>
      <c r="AO41" s="73">
        <f t="shared" si="42"/>
        <v>0</v>
      </c>
      <c r="AP41" s="73">
        <f t="shared" si="43"/>
        <v>0</v>
      </c>
    </row>
    <row r="42" spans="2:42" x14ac:dyDescent="0.25">
      <c r="B42" s="44" t="s">
        <v>371</v>
      </c>
      <c r="C42" s="32" t="s">
        <v>2</v>
      </c>
      <c r="D42" s="32" t="s">
        <v>324</v>
      </c>
      <c r="E42" s="32">
        <v>26</v>
      </c>
      <c r="F42" s="32" t="s">
        <v>372</v>
      </c>
      <c r="G42" s="33">
        <v>4.4559999999999999E-3</v>
      </c>
      <c r="H42" s="34">
        <v>140</v>
      </c>
      <c r="I42" s="35" t="s">
        <v>364</v>
      </c>
      <c r="J42" s="36">
        <v>-4.849145</v>
      </c>
      <c r="K42" s="36">
        <v>-6.6600280000000005</v>
      </c>
      <c r="L42" s="53">
        <f t="shared" si="28"/>
        <v>-678880.3</v>
      </c>
      <c r="M42" s="53">
        <f t="shared" si="29"/>
        <v>-253523.62000000005</v>
      </c>
      <c r="N42" s="53">
        <f t="shared" si="30"/>
        <v>-932403.92000000016</v>
      </c>
      <c r="O42" s="36">
        <v>0</v>
      </c>
      <c r="P42" s="36">
        <v>0</v>
      </c>
      <c r="Q42" s="36">
        <f t="shared" si="31"/>
        <v>0</v>
      </c>
      <c r="R42" s="36">
        <f t="shared" si="32"/>
        <v>0</v>
      </c>
      <c r="S42" s="36">
        <f>IF(C42&lt;&gt;"Offshore",0,IFERROR(VLOOKUP(D42,'Local Tariffs'!$A$4:$B$98,2,0),VLOOKUP(A42,'Local Tariffs'!$A$4:$B$98,2,0)))</f>
        <v>0</v>
      </c>
      <c r="T42" s="36">
        <f>IF(C42&lt;&gt;"Offshore",0,VLOOKUP(I42,'Local Tariffs'!$E$4:$F$38,2,0))</f>
        <v>0</v>
      </c>
      <c r="U42" s="53">
        <f t="shared" si="33"/>
        <v>0</v>
      </c>
      <c r="V42" s="53">
        <f t="shared" si="34"/>
        <v>0</v>
      </c>
      <c r="W42" s="36">
        <v>-6.6600280000000005</v>
      </c>
      <c r="X42" s="37">
        <v>-932403.92</v>
      </c>
      <c r="Y42" s="37">
        <v>1.999999990221113E-2</v>
      </c>
      <c r="Z42" s="38">
        <v>-6.6600280000000005</v>
      </c>
      <c r="AA42" s="39">
        <v>-932403.92</v>
      </c>
      <c r="AB42" s="40">
        <v>139.47933333333333</v>
      </c>
      <c r="AC42" s="41">
        <v>-928936.27</v>
      </c>
      <c r="AD42" s="41">
        <v>3467.6500000000233</v>
      </c>
      <c r="AE42" s="58">
        <f t="shared" si="35"/>
        <v>-6.6600280000000005</v>
      </c>
      <c r="AF42" s="58">
        <f t="shared" si="36"/>
        <v>0</v>
      </c>
      <c r="AG42" s="58">
        <f t="shared" si="37"/>
        <v>0</v>
      </c>
      <c r="AH42" s="41">
        <f t="shared" si="38"/>
        <v>3467.6545786666934</v>
      </c>
      <c r="AI42" s="41">
        <f t="shared" si="39"/>
        <v>0</v>
      </c>
      <c r="AJ42" s="41">
        <f t="shared" si="40"/>
        <v>0</v>
      </c>
      <c r="AK42" s="42">
        <v>6239.42</v>
      </c>
      <c r="AL42" s="41">
        <v>9707.0899999999256</v>
      </c>
      <c r="AM42" s="41">
        <v>-932403.94</v>
      </c>
      <c r="AN42" s="64">
        <f t="shared" si="41"/>
        <v>-922696.85</v>
      </c>
      <c r="AO42" s="73">
        <f t="shared" si="42"/>
        <v>2524.7881633333527</v>
      </c>
      <c r="AP42" s="73">
        <f t="shared" si="43"/>
        <v>942.86641533334068</v>
      </c>
    </row>
    <row r="43" spans="2:42" x14ac:dyDescent="0.25">
      <c r="B43" s="44" t="s">
        <v>373</v>
      </c>
      <c r="C43" s="45" t="s">
        <v>323</v>
      </c>
      <c r="D43" s="45" t="s">
        <v>324</v>
      </c>
      <c r="E43" s="45">
        <v>25</v>
      </c>
      <c r="F43" s="32" t="s">
        <v>374</v>
      </c>
      <c r="G43" s="33">
        <v>0.102893</v>
      </c>
      <c r="H43" s="34">
        <v>49.9</v>
      </c>
      <c r="I43" s="35" t="s">
        <v>356</v>
      </c>
      <c r="J43" s="36">
        <v>-4.849145</v>
      </c>
      <c r="K43" s="36">
        <v>-6.0261149999999999</v>
      </c>
      <c r="L43" s="53">
        <f t="shared" si="28"/>
        <v>-241972.33549999999</v>
      </c>
      <c r="M43" s="53">
        <f t="shared" si="29"/>
        <v>-58730.802999999985</v>
      </c>
      <c r="N43" s="53">
        <f t="shared" si="30"/>
        <v>-300703.1385</v>
      </c>
      <c r="O43" s="36">
        <v>0</v>
      </c>
      <c r="P43" s="36">
        <v>0.201402</v>
      </c>
      <c r="Q43" s="36">
        <f t="shared" si="31"/>
        <v>0</v>
      </c>
      <c r="R43" s="36">
        <f t="shared" si="32"/>
        <v>0.201402</v>
      </c>
      <c r="S43" s="36">
        <f>IF(C43&lt;&gt;"Offshore",0,IFERROR(VLOOKUP(D43,'Local Tariffs'!$A$4:$B$98,2,0),VLOOKUP(A43,'Local Tariffs'!$A$4:$B$98,2,0)))</f>
        <v>0</v>
      </c>
      <c r="T43" s="36">
        <f>IF(C43&lt;&gt;"Offshore",0,VLOOKUP(I43,'Local Tariffs'!$E$4:$F$38,2,0))</f>
        <v>0</v>
      </c>
      <c r="U43" s="53">
        <f t="shared" si="33"/>
        <v>10049.959800000001</v>
      </c>
      <c r="V43" s="53">
        <f t="shared" si="34"/>
        <v>0</v>
      </c>
      <c r="W43" s="36">
        <v>-5.824713</v>
      </c>
      <c r="X43" s="37">
        <v>-290653.18</v>
      </c>
      <c r="Y43" s="37">
        <v>-290653.18</v>
      </c>
      <c r="Z43" s="38">
        <v>-6.0261149999999999</v>
      </c>
      <c r="AA43" s="39">
        <v>-300703.14</v>
      </c>
      <c r="AB43" s="40">
        <v>0</v>
      </c>
      <c r="AC43" s="41">
        <v>0</v>
      </c>
      <c r="AD43" s="41">
        <v>300703.14</v>
      </c>
      <c r="AE43" s="58">
        <f t="shared" si="35"/>
        <v>-6.0261149999999999</v>
      </c>
      <c r="AF43" s="58">
        <f t="shared" si="36"/>
        <v>0</v>
      </c>
      <c r="AG43" s="58">
        <f t="shared" si="37"/>
        <v>0</v>
      </c>
      <c r="AH43" s="41">
        <f t="shared" si="38"/>
        <v>300703.13849999994</v>
      </c>
      <c r="AI43" s="41">
        <f t="shared" si="39"/>
        <v>0</v>
      </c>
      <c r="AJ43" s="41">
        <f t="shared" si="40"/>
        <v>0</v>
      </c>
      <c r="AK43" s="42">
        <v>0</v>
      </c>
      <c r="AL43" s="41">
        <v>10049.960000000021</v>
      </c>
      <c r="AM43" s="41">
        <v>0</v>
      </c>
      <c r="AN43" s="64">
        <f t="shared" si="41"/>
        <v>10049.960000000021</v>
      </c>
      <c r="AO43" s="73">
        <f t="shared" si="42"/>
        <v>241972.33549999999</v>
      </c>
      <c r="AP43" s="73">
        <f t="shared" si="43"/>
        <v>58730.802999999985</v>
      </c>
    </row>
    <row r="44" spans="2:42" x14ac:dyDescent="0.25">
      <c r="B44" s="44" t="s">
        <v>375</v>
      </c>
      <c r="C44" s="45" t="s">
        <v>323</v>
      </c>
      <c r="D44" s="45" t="s">
        <v>376</v>
      </c>
      <c r="E44" s="45">
        <v>12</v>
      </c>
      <c r="F44" s="45" t="s">
        <v>328</v>
      </c>
      <c r="G44" s="33">
        <v>0.35665999999999998</v>
      </c>
      <c r="H44" s="34">
        <v>46</v>
      </c>
      <c r="I44" s="35" t="s">
        <v>321</v>
      </c>
      <c r="J44" s="36">
        <v>-4.849145</v>
      </c>
      <c r="K44" s="36">
        <v>-7.2376670000000001</v>
      </c>
      <c r="L44" s="53">
        <f t="shared" si="28"/>
        <v>-223060.67</v>
      </c>
      <c r="M44" s="53">
        <f t="shared" si="29"/>
        <v>-109872.012</v>
      </c>
      <c r="N44" s="53">
        <f t="shared" si="30"/>
        <v>-332932.68200000003</v>
      </c>
      <c r="O44" s="36">
        <v>2.4630190000000001</v>
      </c>
      <c r="P44" s="36">
        <v>0.203179</v>
      </c>
      <c r="Q44" s="36">
        <f t="shared" si="31"/>
        <v>2.4630190000000001</v>
      </c>
      <c r="R44" s="36">
        <f t="shared" si="32"/>
        <v>0.203179</v>
      </c>
      <c r="S44" s="36">
        <f>IF(C44&lt;&gt;"Offshore",0,IFERROR(VLOOKUP(D44,'Local Tariffs'!$A$4:$B$98,2,0),VLOOKUP(A44,'Local Tariffs'!$A$4:$B$98,2,0)))</f>
        <v>0</v>
      </c>
      <c r="T44" s="36">
        <f>IF(C44&lt;&gt;"Offshore",0,VLOOKUP(I44,'Local Tariffs'!$E$4:$F$38,2,0))</f>
        <v>0</v>
      </c>
      <c r="U44" s="53">
        <f t="shared" si="33"/>
        <v>122645.10800000001</v>
      </c>
      <c r="V44" s="53">
        <f t="shared" si="34"/>
        <v>0</v>
      </c>
      <c r="W44" s="36">
        <v>-4.5714690000000004</v>
      </c>
      <c r="X44" s="37">
        <v>-210287.57</v>
      </c>
      <c r="Y44" s="37">
        <v>-1.0000000009313226E-2</v>
      </c>
      <c r="Z44" s="38">
        <v>-7.2376670000000001</v>
      </c>
      <c r="AA44" s="39">
        <v>-332932.68</v>
      </c>
      <c r="AB44" s="40">
        <v>14.329333333333333</v>
      </c>
      <c r="AC44" s="41">
        <v>-103710.94</v>
      </c>
      <c r="AD44" s="41">
        <v>229221.74</v>
      </c>
      <c r="AE44" s="58">
        <f t="shared" si="35"/>
        <v>-7.2376670000000001</v>
      </c>
      <c r="AF44" s="58">
        <f t="shared" si="36"/>
        <v>0</v>
      </c>
      <c r="AG44" s="58">
        <f t="shared" si="37"/>
        <v>0</v>
      </c>
      <c r="AH44" s="41">
        <f t="shared" si="38"/>
        <v>229221.73900133336</v>
      </c>
      <c r="AI44" s="41">
        <f t="shared" si="39"/>
        <v>0</v>
      </c>
      <c r="AJ44" s="41">
        <f t="shared" si="40"/>
        <v>0</v>
      </c>
      <c r="AK44" s="42">
        <v>824.46</v>
      </c>
      <c r="AL44" s="41">
        <v>230046.18999999997</v>
      </c>
      <c r="AM44" s="41">
        <v>-210287.56</v>
      </c>
      <c r="AN44" s="64">
        <f t="shared" si="41"/>
        <v>19758.629999999976</v>
      </c>
      <c r="AO44" s="73">
        <f t="shared" si="42"/>
        <v>153575.65491333336</v>
      </c>
      <c r="AP44" s="73">
        <f t="shared" si="43"/>
        <v>75646.084088000003</v>
      </c>
    </row>
    <row r="45" spans="2:42" x14ac:dyDescent="0.25">
      <c r="B45" s="44" t="s">
        <v>377</v>
      </c>
      <c r="C45" s="45" t="s">
        <v>323</v>
      </c>
      <c r="D45" s="45" t="s">
        <v>377</v>
      </c>
      <c r="E45" s="45">
        <v>8</v>
      </c>
      <c r="F45" s="45" t="s">
        <v>374</v>
      </c>
      <c r="G45" s="33">
        <v>8.3700999999999998E-2</v>
      </c>
      <c r="H45" s="34">
        <v>440</v>
      </c>
      <c r="I45" s="35" t="s">
        <v>359</v>
      </c>
      <c r="J45" s="36">
        <v>-4.849145</v>
      </c>
      <c r="K45" s="36">
        <v>1.0169141666520005</v>
      </c>
      <c r="L45" s="53">
        <f t="shared" si="28"/>
        <v>-2133623.7999999998</v>
      </c>
      <c r="M45" s="53">
        <f t="shared" si="29"/>
        <v>2581066.0333268801</v>
      </c>
      <c r="N45" s="53">
        <f t="shared" si="30"/>
        <v>447442.23332688026</v>
      </c>
      <c r="O45" s="36">
        <v>1.846679</v>
      </c>
      <c r="P45" s="36">
        <v>0.116232</v>
      </c>
      <c r="Q45" s="36">
        <f t="shared" si="31"/>
        <v>1.846679</v>
      </c>
      <c r="R45" s="36">
        <f t="shared" si="32"/>
        <v>0.116232</v>
      </c>
      <c r="S45" s="36">
        <f>IF(C45&lt;&gt;"Offshore",0,IFERROR(VLOOKUP(D45,'Local Tariffs'!$A$4:$B$98,2,0),VLOOKUP(A45,'Local Tariffs'!$A$4:$B$98,2,0)))</f>
        <v>0</v>
      </c>
      <c r="T45" s="36">
        <f>IF(C45&lt;&gt;"Offshore",0,VLOOKUP(I45,'Local Tariffs'!$E$4:$F$38,2,0))</f>
        <v>0</v>
      </c>
      <c r="U45" s="53">
        <f t="shared" si="33"/>
        <v>863680.84</v>
      </c>
      <c r="V45" s="53">
        <f t="shared" si="34"/>
        <v>0</v>
      </c>
      <c r="W45" s="36">
        <v>2.9798251666520006</v>
      </c>
      <c r="X45" s="37">
        <v>1311123.07</v>
      </c>
      <c r="Y45" s="37">
        <v>-7.9999999841675162E-2</v>
      </c>
      <c r="Z45" s="38">
        <v>0</v>
      </c>
      <c r="AA45" s="39">
        <v>0</v>
      </c>
      <c r="AB45" s="40">
        <v>0</v>
      </c>
      <c r="AC45" s="41">
        <v>0</v>
      </c>
      <c r="AD45" s="41">
        <v>0</v>
      </c>
      <c r="AE45" s="58">
        <f t="shared" si="35"/>
        <v>0</v>
      </c>
      <c r="AF45" s="58">
        <f t="shared" si="36"/>
        <v>0</v>
      </c>
      <c r="AG45" s="58">
        <f t="shared" si="37"/>
        <v>0</v>
      </c>
      <c r="AH45" s="41">
        <f t="shared" si="38"/>
        <v>0</v>
      </c>
      <c r="AI45" s="41">
        <f t="shared" si="39"/>
        <v>0</v>
      </c>
      <c r="AJ45" s="41">
        <f t="shared" si="40"/>
        <v>0</v>
      </c>
      <c r="AK45" s="42">
        <v>0</v>
      </c>
      <c r="AL45" s="41">
        <v>-7.9999999841675162E-2</v>
      </c>
      <c r="AM45" s="41">
        <v>1311123.1499999999</v>
      </c>
      <c r="AN45" s="64">
        <f t="shared" si="41"/>
        <v>1311123.07</v>
      </c>
      <c r="AO45" s="73">
        <f t="shared" si="42"/>
        <v>0</v>
      </c>
      <c r="AP45" s="73">
        <f t="shared" si="43"/>
        <v>0</v>
      </c>
    </row>
    <row r="46" spans="2:42" x14ac:dyDescent="0.25">
      <c r="B46" s="44" t="s">
        <v>378</v>
      </c>
      <c r="C46" s="45" t="s">
        <v>323</v>
      </c>
      <c r="D46" s="45" t="s">
        <v>379</v>
      </c>
      <c r="E46" s="45">
        <v>11</v>
      </c>
      <c r="F46" s="45" t="s">
        <v>328</v>
      </c>
      <c r="G46" s="33">
        <v>0.482354</v>
      </c>
      <c r="H46" s="34">
        <v>138</v>
      </c>
      <c r="I46" s="35" t="s">
        <v>356</v>
      </c>
      <c r="J46" s="36">
        <v>-4.849145</v>
      </c>
      <c r="K46" s="36">
        <v>7.0092379999999999</v>
      </c>
      <c r="L46" s="53">
        <f t="shared" si="28"/>
        <v>-669182.01</v>
      </c>
      <c r="M46" s="53">
        <f t="shared" si="29"/>
        <v>1636456.8540000001</v>
      </c>
      <c r="N46" s="53">
        <f t="shared" si="30"/>
        <v>967274.84400000004</v>
      </c>
      <c r="O46" s="36">
        <v>0.137216</v>
      </c>
      <c r="P46" s="36">
        <v>0.201402</v>
      </c>
      <c r="Q46" s="36">
        <f t="shared" si="31"/>
        <v>0.137216</v>
      </c>
      <c r="R46" s="36">
        <f t="shared" si="32"/>
        <v>0.201402</v>
      </c>
      <c r="S46" s="36">
        <f>IF(C46&lt;&gt;"Offshore",0,IFERROR(VLOOKUP(D46,'Local Tariffs'!$A$4:$B$98,2,0),VLOOKUP(A46,'Local Tariffs'!$A$4:$B$98,2,0)))</f>
        <v>0</v>
      </c>
      <c r="T46" s="36">
        <f>IF(C46&lt;&gt;"Offshore",0,VLOOKUP(I46,'Local Tariffs'!$E$4:$F$38,2,0))</f>
        <v>0</v>
      </c>
      <c r="U46" s="53">
        <f t="shared" si="33"/>
        <v>46729.284</v>
      </c>
      <c r="V46" s="53">
        <f t="shared" si="34"/>
        <v>0</v>
      </c>
      <c r="W46" s="36">
        <v>7.3478560000000002</v>
      </c>
      <c r="X46" s="37">
        <v>1014004.13</v>
      </c>
      <c r="Y46" s="37">
        <v>-5.9999999823048711E-2</v>
      </c>
      <c r="Z46" s="38">
        <v>0</v>
      </c>
      <c r="AA46" s="39">
        <v>0</v>
      </c>
      <c r="AB46" s="40">
        <v>0</v>
      </c>
      <c r="AC46" s="41">
        <v>0</v>
      </c>
      <c r="AD46" s="41">
        <v>0</v>
      </c>
      <c r="AE46" s="58">
        <f t="shared" si="35"/>
        <v>0</v>
      </c>
      <c r="AF46" s="58">
        <f t="shared" si="36"/>
        <v>0</v>
      </c>
      <c r="AG46" s="58">
        <f t="shared" si="37"/>
        <v>0</v>
      </c>
      <c r="AH46" s="41">
        <f t="shared" si="38"/>
        <v>0</v>
      </c>
      <c r="AI46" s="41">
        <f t="shared" si="39"/>
        <v>0</v>
      </c>
      <c r="AJ46" s="41">
        <f t="shared" si="40"/>
        <v>0</v>
      </c>
      <c r="AK46" s="42">
        <v>0</v>
      </c>
      <c r="AL46" s="41">
        <v>-5.9999999823048711E-2</v>
      </c>
      <c r="AM46" s="41">
        <v>1014004.1899999998</v>
      </c>
      <c r="AN46" s="64">
        <f t="shared" si="41"/>
        <v>1014004.13</v>
      </c>
      <c r="AO46" s="73">
        <f t="shared" si="42"/>
        <v>0</v>
      </c>
      <c r="AP46" s="73">
        <f t="shared" si="43"/>
        <v>0</v>
      </c>
    </row>
    <row r="47" spans="2:42" x14ac:dyDescent="0.25">
      <c r="B47" s="44" t="s">
        <v>380</v>
      </c>
      <c r="C47" s="45" t="s">
        <v>323</v>
      </c>
      <c r="D47" s="45" t="s">
        <v>379</v>
      </c>
      <c r="E47" s="45">
        <v>11</v>
      </c>
      <c r="F47" s="45" t="s">
        <v>328</v>
      </c>
      <c r="G47" s="33">
        <v>0.471279</v>
      </c>
      <c r="H47" s="34">
        <v>13.8</v>
      </c>
      <c r="I47" s="35" t="s">
        <v>356</v>
      </c>
      <c r="J47" s="36">
        <v>-4.849145</v>
      </c>
      <c r="K47" s="36">
        <v>6.8754609999999996</v>
      </c>
      <c r="L47" s="53">
        <f t="shared" si="28"/>
        <v>-66918.201000000015</v>
      </c>
      <c r="M47" s="53">
        <f t="shared" si="29"/>
        <v>161799.56279999999</v>
      </c>
      <c r="N47" s="53">
        <f t="shared" si="30"/>
        <v>94881.36179999997</v>
      </c>
      <c r="O47" s="36">
        <v>0.137216</v>
      </c>
      <c r="P47" s="36">
        <v>0.201402</v>
      </c>
      <c r="Q47" s="36">
        <f t="shared" si="31"/>
        <v>0.137216</v>
      </c>
      <c r="R47" s="36">
        <f t="shared" si="32"/>
        <v>0.201402</v>
      </c>
      <c r="S47" s="36">
        <f>IF(C47&lt;&gt;"Offshore",0,IFERROR(VLOOKUP(D47,'Local Tariffs'!$A$4:$B$98,2,0),VLOOKUP(A47,'Local Tariffs'!$A$4:$B$98,2,0)))</f>
        <v>0</v>
      </c>
      <c r="T47" s="36">
        <f>IF(C47&lt;&gt;"Offshore",0,VLOOKUP(I47,'Local Tariffs'!$E$4:$F$38,2,0))</f>
        <v>0</v>
      </c>
      <c r="U47" s="53">
        <f t="shared" si="33"/>
        <v>4672.9283999999998</v>
      </c>
      <c r="V47" s="53">
        <f t="shared" si="34"/>
        <v>0</v>
      </c>
      <c r="W47" s="36">
        <v>7.2140789999999999</v>
      </c>
      <c r="X47" s="37">
        <v>99554.29</v>
      </c>
      <c r="Y47" s="37">
        <v>0</v>
      </c>
      <c r="Z47" s="38">
        <v>0</v>
      </c>
      <c r="AA47" s="39">
        <v>0</v>
      </c>
      <c r="AB47" s="40">
        <v>0</v>
      </c>
      <c r="AC47" s="41">
        <v>0</v>
      </c>
      <c r="AD47" s="41">
        <v>0</v>
      </c>
      <c r="AE47" s="58">
        <f t="shared" si="35"/>
        <v>0</v>
      </c>
      <c r="AF47" s="58">
        <f t="shared" si="36"/>
        <v>0</v>
      </c>
      <c r="AG47" s="58">
        <f t="shared" si="37"/>
        <v>0</v>
      </c>
      <c r="AH47" s="41">
        <f t="shared" si="38"/>
        <v>0</v>
      </c>
      <c r="AI47" s="41">
        <f t="shared" si="39"/>
        <v>0</v>
      </c>
      <c r="AJ47" s="41">
        <f t="shared" si="40"/>
        <v>0</v>
      </c>
      <c r="AK47" s="42">
        <v>0</v>
      </c>
      <c r="AL47" s="41">
        <v>0</v>
      </c>
      <c r="AM47" s="41">
        <v>99554.290000000008</v>
      </c>
      <c r="AN47" s="64">
        <f t="shared" si="41"/>
        <v>99554.290000000008</v>
      </c>
      <c r="AO47" s="73">
        <f t="shared" si="42"/>
        <v>0</v>
      </c>
      <c r="AP47" s="73">
        <f t="shared" si="43"/>
        <v>0</v>
      </c>
    </row>
    <row r="48" spans="2:42" x14ac:dyDescent="0.25">
      <c r="B48" s="44" t="s">
        <v>381</v>
      </c>
      <c r="C48" s="45" t="s">
        <v>323</v>
      </c>
      <c r="D48" s="45" t="s">
        <v>381</v>
      </c>
      <c r="E48" s="45">
        <v>1</v>
      </c>
      <c r="F48" s="45" t="s">
        <v>333</v>
      </c>
      <c r="G48" s="33">
        <v>0.33334599999999998</v>
      </c>
      <c r="H48" s="34">
        <v>19.100000000000001</v>
      </c>
      <c r="I48" s="35" t="s">
        <v>321</v>
      </c>
      <c r="J48" s="36">
        <v>-4.849145</v>
      </c>
      <c r="K48" s="36">
        <v>8.3344609999999992</v>
      </c>
      <c r="L48" s="53">
        <f t="shared" si="28"/>
        <v>-92618.669500000004</v>
      </c>
      <c r="M48" s="53">
        <f t="shared" si="29"/>
        <v>251806.87460000001</v>
      </c>
      <c r="N48" s="53">
        <f t="shared" si="30"/>
        <v>159188.20510000002</v>
      </c>
      <c r="O48" s="36">
        <v>1.753949</v>
      </c>
      <c r="P48" s="36">
        <v>0.203179</v>
      </c>
      <c r="Q48" s="36">
        <f t="shared" si="31"/>
        <v>1.753949</v>
      </c>
      <c r="R48" s="36">
        <f t="shared" si="32"/>
        <v>0.203179</v>
      </c>
      <c r="S48" s="36">
        <f>IF(C48&lt;&gt;"Offshore",0,IFERROR(VLOOKUP(D48,'Local Tariffs'!$A$4:$B$98,2,0),VLOOKUP(A48,'Local Tariffs'!$A$4:$B$98,2,0)))</f>
        <v>0</v>
      </c>
      <c r="T48" s="36">
        <f>IF(C48&lt;&gt;"Offshore",0,VLOOKUP(I48,'Local Tariffs'!$E$4:$F$38,2,0))</f>
        <v>0</v>
      </c>
      <c r="U48" s="53">
        <f t="shared" si="33"/>
        <v>37381.144800000002</v>
      </c>
      <c r="V48" s="53">
        <f t="shared" si="34"/>
        <v>0</v>
      </c>
      <c r="W48" s="36">
        <v>10.291589</v>
      </c>
      <c r="X48" s="37">
        <v>196569.35</v>
      </c>
      <c r="Y48" s="37">
        <v>-1.0000000009313226E-2</v>
      </c>
      <c r="Z48" s="38">
        <v>0</v>
      </c>
      <c r="AA48" s="39">
        <v>0</v>
      </c>
      <c r="AB48" s="40">
        <v>0</v>
      </c>
      <c r="AC48" s="41">
        <v>0</v>
      </c>
      <c r="AD48" s="41">
        <v>0</v>
      </c>
      <c r="AE48" s="58">
        <f t="shared" si="35"/>
        <v>0</v>
      </c>
      <c r="AF48" s="58">
        <f t="shared" si="36"/>
        <v>0</v>
      </c>
      <c r="AG48" s="58">
        <f t="shared" si="37"/>
        <v>0</v>
      </c>
      <c r="AH48" s="41">
        <f t="shared" si="38"/>
        <v>0</v>
      </c>
      <c r="AI48" s="41">
        <f t="shared" si="39"/>
        <v>0</v>
      </c>
      <c r="AJ48" s="41">
        <f t="shared" si="40"/>
        <v>0</v>
      </c>
      <c r="AK48" s="42">
        <v>0</v>
      </c>
      <c r="AL48" s="41">
        <v>-1.0000000009313226E-2</v>
      </c>
      <c r="AM48" s="41">
        <v>196569.36000000002</v>
      </c>
      <c r="AN48" s="64">
        <f t="shared" si="41"/>
        <v>196569.35</v>
      </c>
      <c r="AO48" s="73">
        <f t="shared" si="42"/>
        <v>0</v>
      </c>
      <c r="AP48" s="73">
        <f t="shared" si="43"/>
        <v>0</v>
      </c>
    </row>
    <row r="49" spans="2:42" x14ac:dyDescent="0.25">
      <c r="B49" s="45" t="s">
        <v>382</v>
      </c>
      <c r="C49" s="45" t="s">
        <v>323</v>
      </c>
      <c r="D49" s="45" t="s">
        <v>324</v>
      </c>
      <c r="E49" s="45">
        <v>24</v>
      </c>
      <c r="F49" s="45" t="s">
        <v>340</v>
      </c>
      <c r="G49" s="33">
        <v>0.65290999999999999</v>
      </c>
      <c r="H49" s="34">
        <v>812</v>
      </c>
      <c r="I49" s="35" t="s">
        <v>356</v>
      </c>
      <c r="J49" s="36">
        <v>-4.849145</v>
      </c>
      <c r="K49" s="36">
        <v>-6.7609979999999998</v>
      </c>
      <c r="L49" s="53">
        <f t="shared" si="28"/>
        <v>-3937505.74</v>
      </c>
      <c r="M49" s="53">
        <f t="shared" si="29"/>
        <v>-1552424.6359999997</v>
      </c>
      <c r="N49" s="53">
        <f t="shared" si="30"/>
        <v>-5489930.3760000002</v>
      </c>
      <c r="O49" s="36">
        <v>0</v>
      </c>
      <c r="P49" s="36">
        <v>0.201402</v>
      </c>
      <c r="Q49" s="36">
        <f t="shared" si="31"/>
        <v>0</v>
      </c>
      <c r="R49" s="36">
        <f t="shared" si="32"/>
        <v>0.201402</v>
      </c>
      <c r="S49" s="36">
        <f>IF(C49&lt;&gt;"Offshore",0,IFERROR(VLOOKUP(D49,'Local Tariffs'!$A$4:$B$98,2,0),VLOOKUP(A49,'Local Tariffs'!$A$4:$B$98,2,0)))</f>
        <v>0</v>
      </c>
      <c r="T49" s="36">
        <f>IF(C49&lt;&gt;"Offshore",0,VLOOKUP(I49,'Local Tariffs'!$E$4:$F$38,2,0))</f>
        <v>0</v>
      </c>
      <c r="U49" s="53">
        <f t="shared" si="33"/>
        <v>163538.424</v>
      </c>
      <c r="V49" s="53">
        <f t="shared" si="34"/>
        <v>0</v>
      </c>
      <c r="W49" s="36">
        <v>-6.559596</v>
      </c>
      <c r="X49" s="37">
        <v>-5326391.95</v>
      </c>
      <c r="Y49" s="37">
        <v>0.35000000055879354</v>
      </c>
      <c r="Z49" s="38">
        <v>-6.7609979999999998</v>
      </c>
      <c r="AA49" s="39">
        <v>-5489930.3799999999</v>
      </c>
      <c r="AB49" s="40">
        <v>810.48666666666668</v>
      </c>
      <c r="AC49" s="41">
        <v>-5479698.7300000004</v>
      </c>
      <c r="AD49" s="41">
        <v>10231.649999999441</v>
      </c>
      <c r="AE49" s="58">
        <f t="shared" si="35"/>
        <v>-6.7609979999999998</v>
      </c>
      <c r="AF49" s="58">
        <f t="shared" si="36"/>
        <v>0</v>
      </c>
      <c r="AG49" s="58">
        <f t="shared" si="37"/>
        <v>0</v>
      </c>
      <c r="AH49" s="41">
        <f t="shared" si="38"/>
        <v>10231.643639999918</v>
      </c>
      <c r="AI49" s="41">
        <f t="shared" si="39"/>
        <v>0</v>
      </c>
      <c r="AJ49" s="41">
        <f t="shared" si="40"/>
        <v>0</v>
      </c>
      <c r="AK49" s="42">
        <v>0</v>
      </c>
      <c r="AL49" s="41">
        <v>10232</v>
      </c>
      <c r="AM49" s="41">
        <v>-5326392.3000000007</v>
      </c>
      <c r="AN49" s="64">
        <f t="shared" si="41"/>
        <v>-5316160.3000000007</v>
      </c>
      <c r="AO49" s="73">
        <f t="shared" si="42"/>
        <v>7338.3727666666082</v>
      </c>
      <c r="AP49" s="73">
        <f t="shared" si="43"/>
        <v>2893.2708733333097</v>
      </c>
    </row>
    <row r="50" spans="2:42" x14ac:dyDescent="0.25">
      <c r="B50" s="44" t="s">
        <v>383</v>
      </c>
      <c r="C50" s="45" t="s">
        <v>323</v>
      </c>
      <c r="D50" s="45" t="s">
        <v>383</v>
      </c>
      <c r="E50" s="45">
        <v>1</v>
      </c>
      <c r="F50" s="45" t="s">
        <v>333</v>
      </c>
      <c r="G50" s="33">
        <v>0.33334599999999998</v>
      </c>
      <c r="H50" s="34">
        <v>38</v>
      </c>
      <c r="I50" s="35" t="s">
        <v>321</v>
      </c>
      <c r="J50" s="36">
        <v>-4.849145</v>
      </c>
      <c r="K50" s="36">
        <v>8.3344609999999992</v>
      </c>
      <c r="L50" s="53">
        <f t="shared" si="28"/>
        <v>-184267.51</v>
      </c>
      <c r="M50" s="53">
        <f t="shared" si="29"/>
        <v>500977.02799999993</v>
      </c>
      <c r="N50" s="53">
        <f t="shared" si="30"/>
        <v>316709.51799999992</v>
      </c>
      <c r="O50" s="36">
        <v>2.881488</v>
      </c>
      <c r="P50" s="36">
        <v>0.203179</v>
      </c>
      <c r="Q50" s="36">
        <f t="shared" si="31"/>
        <v>2.881488</v>
      </c>
      <c r="R50" s="36">
        <f t="shared" si="32"/>
        <v>0.203179</v>
      </c>
      <c r="S50" s="36">
        <f>IF(C50&lt;&gt;"Offshore",0,IFERROR(VLOOKUP(D50,'Local Tariffs'!$A$4:$B$98,2,0),VLOOKUP(A50,'Local Tariffs'!$A$4:$B$98,2,0)))</f>
        <v>0</v>
      </c>
      <c r="T50" s="36">
        <f>IF(C50&lt;&gt;"Offshore",0,VLOOKUP(I50,'Local Tariffs'!$E$4:$F$38,2,0))</f>
        <v>0</v>
      </c>
      <c r="U50" s="53">
        <f t="shared" si="33"/>
        <v>117217.34600000001</v>
      </c>
      <c r="V50" s="53">
        <f t="shared" si="34"/>
        <v>0</v>
      </c>
      <c r="W50" s="36">
        <v>11.419127999999999</v>
      </c>
      <c r="X50" s="37">
        <v>433926.86</v>
      </c>
      <c r="Y50" s="37">
        <v>-2.0000000076834112E-2</v>
      </c>
      <c r="Z50" s="38">
        <v>0</v>
      </c>
      <c r="AA50" s="39">
        <v>0</v>
      </c>
      <c r="AB50" s="40">
        <v>0</v>
      </c>
      <c r="AC50" s="41">
        <v>0</v>
      </c>
      <c r="AD50" s="41">
        <v>0</v>
      </c>
      <c r="AE50" s="58">
        <f t="shared" si="35"/>
        <v>0</v>
      </c>
      <c r="AF50" s="58">
        <f t="shared" si="36"/>
        <v>0</v>
      </c>
      <c r="AG50" s="58">
        <f t="shared" si="37"/>
        <v>0</v>
      </c>
      <c r="AH50" s="41">
        <f t="shared" si="38"/>
        <v>0</v>
      </c>
      <c r="AI50" s="41">
        <f t="shared" si="39"/>
        <v>0</v>
      </c>
      <c r="AJ50" s="41">
        <f t="shared" si="40"/>
        <v>0</v>
      </c>
      <c r="AK50" s="42">
        <v>422.54</v>
      </c>
      <c r="AL50" s="41">
        <v>422.51999999992319</v>
      </c>
      <c r="AM50" s="41">
        <v>433926.88000000006</v>
      </c>
      <c r="AN50" s="64">
        <f t="shared" si="41"/>
        <v>434349.39999999997</v>
      </c>
      <c r="AO50" s="73">
        <f t="shared" si="42"/>
        <v>0</v>
      </c>
      <c r="AP50" s="73">
        <f t="shared" si="43"/>
        <v>0</v>
      </c>
    </row>
    <row r="51" spans="2:42" x14ac:dyDescent="0.25">
      <c r="B51" s="44" t="s">
        <v>384</v>
      </c>
      <c r="C51" s="45" t="s">
        <v>323</v>
      </c>
      <c r="D51" s="45" t="s">
        <v>324</v>
      </c>
      <c r="E51" s="45">
        <v>16</v>
      </c>
      <c r="F51" s="45" t="s">
        <v>340</v>
      </c>
      <c r="G51" s="33">
        <v>0.17392099999999999</v>
      </c>
      <c r="H51" s="34">
        <v>1</v>
      </c>
      <c r="I51" s="35" t="s">
        <v>362</v>
      </c>
      <c r="J51" s="36">
        <v>-4.849145</v>
      </c>
      <c r="K51" s="36">
        <v>-1.4223020000000002</v>
      </c>
      <c r="L51" s="53">
        <f t="shared" si="28"/>
        <v>-4849.1450000000004</v>
      </c>
      <c r="M51" s="53">
        <f t="shared" si="29"/>
        <v>3426.8429999999998</v>
      </c>
      <c r="N51" s="53">
        <f t="shared" si="30"/>
        <v>-1422.3020000000006</v>
      </c>
      <c r="O51" s="36">
        <v>0</v>
      </c>
      <c r="P51" s="36">
        <v>0.43671900000000002</v>
      </c>
      <c r="Q51" s="36">
        <f t="shared" si="31"/>
        <v>0</v>
      </c>
      <c r="R51" s="36">
        <f t="shared" si="32"/>
        <v>0.43671900000000002</v>
      </c>
      <c r="S51" s="36">
        <f>IF(C51&lt;&gt;"Offshore",0,IFERROR(VLOOKUP(D51,'Local Tariffs'!$A$4:$B$98,2,0),VLOOKUP(A51,'Local Tariffs'!$A$4:$B$98,2,0)))</f>
        <v>0</v>
      </c>
      <c r="T51" s="36">
        <f>IF(C51&lt;&gt;"Offshore",0,VLOOKUP(I51,'Local Tariffs'!$E$4:$F$38,2,0))</f>
        <v>0</v>
      </c>
      <c r="U51" s="53">
        <f t="shared" si="33"/>
        <v>436.71900000000005</v>
      </c>
      <c r="V51" s="53">
        <f t="shared" si="34"/>
        <v>0</v>
      </c>
      <c r="W51" s="36">
        <v>-0.9855830000000001</v>
      </c>
      <c r="X51" s="37">
        <v>-985.58</v>
      </c>
      <c r="Y51" s="37">
        <v>0</v>
      </c>
      <c r="Z51" s="38">
        <v>-1.4223020000000002</v>
      </c>
      <c r="AA51" s="39">
        <v>-1422.3</v>
      </c>
      <c r="AB51" s="40">
        <v>0</v>
      </c>
      <c r="AC51" s="41">
        <v>0</v>
      </c>
      <c r="AD51" s="41">
        <v>1422.3</v>
      </c>
      <c r="AE51" s="58">
        <f t="shared" si="35"/>
        <v>-1.4223020000000002</v>
      </c>
      <c r="AF51" s="58">
        <f t="shared" si="36"/>
        <v>0</v>
      </c>
      <c r="AG51" s="58">
        <f t="shared" si="37"/>
        <v>0</v>
      </c>
      <c r="AH51" s="41">
        <f t="shared" si="38"/>
        <v>1422.3020000000001</v>
      </c>
      <c r="AI51" s="41">
        <f t="shared" si="39"/>
        <v>0</v>
      </c>
      <c r="AJ51" s="41">
        <f t="shared" si="40"/>
        <v>0</v>
      </c>
      <c r="AK51" s="42">
        <v>0</v>
      </c>
      <c r="AL51" s="41">
        <v>1422.3</v>
      </c>
      <c r="AM51" s="41">
        <v>-985.57999999999993</v>
      </c>
      <c r="AN51" s="64">
        <f t="shared" si="41"/>
        <v>436.72</v>
      </c>
      <c r="AO51" s="73">
        <f t="shared" si="42"/>
        <v>1422.3020000000001</v>
      </c>
      <c r="AP51" s="73">
        <f t="shared" si="43"/>
        <v>0</v>
      </c>
    </row>
    <row r="52" spans="2:42" x14ac:dyDescent="0.25">
      <c r="B52" s="44" t="s">
        <v>385</v>
      </c>
      <c r="C52" s="45" t="s">
        <v>323</v>
      </c>
      <c r="D52" s="45" t="s">
        <v>385</v>
      </c>
      <c r="E52" s="45">
        <v>10</v>
      </c>
      <c r="F52" s="45" t="s">
        <v>328</v>
      </c>
      <c r="G52" s="33">
        <v>0.36278500000000002</v>
      </c>
      <c r="H52" s="34">
        <v>69</v>
      </c>
      <c r="I52" s="35" t="s">
        <v>321</v>
      </c>
      <c r="J52" s="36">
        <v>-4.849145</v>
      </c>
      <c r="K52" s="36">
        <v>-0.38709699999999891</v>
      </c>
      <c r="L52" s="53">
        <f t="shared" si="28"/>
        <v>-334591.005</v>
      </c>
      <c r="M52" s="53">
        <f t="shared" si="29"/>
        <v>307881.31200000009</v>
      </c>
      <c r="N52" s="53">
        <f t="shared" si="30"/>
        <v>-26709.692999999912</v>
      </c>
      <c r="O52" s="36">
        <v>2.4376679999999999</v>
      </c>
      <c r="P52" s="36">
        <v>0.203179</v>
      </c>
      <c r="Q52" s="36">
        <f t="shared" si="31"/>
        <v>2.4376679999999999</v>
      </c>
      <c r="R52" s="36">
        <f t="shared" si="32"/>
        <v>0.203179</v>
      </c>
      <c r="S52" s="36">
        <f>IF(C52&lt;&gt;"Offshore",0,IFERROR(VLOOKUP(D52,'Local Tariffs'!$A$4:$B$98,2,0),VLOOKUP(A52,'Local Tariffs'!$A$4:$B$98,2,0)))</f>
        <v>0</v>
      </c>
      <c r="T52" s="36">
        <f>IF(C52&lt;&gt;"Offshore",0,VLOOKUP(I52,'Local Tariffs'!$E$4:$F$38,2,0))</f>
        <v>0</v>
      </c>
      <c r="U52" s="53">
        <f t="shared" si="33"/>
        <v>182218.443</v>
      </c>
      <c r="V52" s="53">
        <f t="shared" si="34"/>
        <v>0</v>
      </c>
      <c r="W52" s="36">
        <v>2.253750000000001</v>
      </c>
      <c r="X52" s="37">
        <v>155508.75</v>
      </c>
      <c r="Y52" s="37">
        <v>2.9999999998835847E-2</v>
      </c>
      <c r="Z52" s="38">
        <v>-0.38709699999999891</v>
      </c>
      <c r="AA52" s="39">
        <v>-26709.69</v>
      </c>
      <c r="AB52" s="40">
        <v>67.761333333333326</v>
      </c>
      <c r="AC52" s="41">
        <v>-26230.21</v>
      </c>
      <c r="AD52" s="41">
        <v>479.47999999999956</v>
      </c>
      <c r="AE52" s="58">
        <f t="shared" si="35"/>
        <v>-0.38709699999999891</v>
      </c>
      <c r="AF52" s="58">
        <f t="shared" si="36"/>
        <v>0</v>
      </c>
      <c r="AG52" s="58">
        <f t="shared" si="37"/>
        <v>0</v>
      </c>
      <c r="AH52" s="41">
        <f t="shared" si="38"/>
        <v>479.4841506666682</v>
      </c>
      <c r="AI52" s="41">
        <f t="shared" si="39"/>
        <v>0</v>
      </c>
      <c r="AJ52" s="41">
        <f t="shared" si="40"/>
        <v>0</v>
      </c>
      <c r="AK52" s="42">
        <v>6557.35</v>
      </c>
      <c r="AL52" s="41">
        <v>7036.8599999999988</v>
      </c>
      <c r="AM52" s="41">
        <v>155508.72</v>
      </c>
      <c r="AN52" s="64">
        <f t="shared" si="41"/>
        <v>162545.57999999999</v>
      </c>
      <c r="AO52" s="73">
        <f t="shared" si="42"/>
        <v>479.4841506666682</v>
      </c>
      <c r="AP52" s="73">
        <f t="shared" si="43"/>
        <v>0</v>
      </c>
    </row>
    <row r="53" spans="2:42" x14ac:dyDescent="0.25">
      <c r="B53" s="44" t="s">
        <v>386</v>
      </c>
      <c r="C53" s="45" t="s">
        <v>323</v>
      </c>
      <c r="D53" s="32" t="s">
        <v>324</v>
      </c>
      <c r="E53" s="45">
        <v>25</v>
      </c>
      <c r="F53" s="45" t="s">
        <v>340</v>
      </c>
      <c r="G53" s="33">
        <v>0.45132699999999998</v>
      </c>
      <c r="H53" s="34">
        <v>1450</v>
      </c>
      <c r="I53" s="35" t="s">
        <v>362</v>
      </c>
      <c r="J53" s="36">
        <v>-4.849145</v>
      </c>
      <c r="K53" s="36">
        <v>-6.8506749999999998</v>
      </c>
      <c r="L53" s="53">
        <f t="shared" si="28"/>
        <v>-7031260.25</v>
      </c>
      <c r="M53" s="53">
        <f t="shared" si="29"/>
        <v>-2902218.5</v>
      </c>
      <c r="N53" s="53">
        <f t="shared" si="30"/>
        <v>-9933478.75</v>
      </c>
      <c r="O53" s="36">
        <v>0</v>
      </c>
      <c r="P53" s="36">
        <v>0.43671900000000002</v>
      </c>
      <c r="Q53" s="36">
        <f t="shared" si="31"/>
        <v>0</v>
      </c>
      <c r="R53" s="36">
        <f t="shared" si="32"/>
        <v>0.43671900000000002</v>
      </c>
      <c r="S53" s="36">
        <f>IF(C53&lt;&gt;"Offshore",0,IFERROR(VLOOKUP(D53,'Local Tariffs'!$A$4:$B$98,2,0),VLOOKUP(A53,'Local Tariffs'!$A$4:$B$98,2,0)))</f>
        <v>0</v>
      </c>
      <c r="T53" s="36">
        <f>IF(C53&lt;&gt;"Offshore",0,VLOOKUP(I53,'Local Tariffs'!$E$4:$F$38,2,0))</f>
        <v>0</v>
      </c>
      <c r="U53" s="53">
        <f t="shared" si="33"/>
        <v>633242.55000000005</v>
      </c>
      <c r="V53" s="53">
        <f t="shared" si="34"/>
        <v>0</v>
      </c>
      <c r="W53" s="36">
        <v>-6.4139559999999998</v>
      </c>
      <c r="X53" s="37">
        <v>-9300236.1999999993</v>
      </c>
      <c r="Y53" s="37">
        <v>8.9999997988343239E-2</v>
      </c>
      <c r="Z53" s="38">
        <v>-6.8506749999999998</v>
      </c>
      <c r="AA53" s="39">
        <v>-9933478.75</v>
      </c>
      <c r="AB53" s="40">
        <v>1424.5079999999998</v>
      </c>
      <c r="AC53" s="41">
        <v>-9758841.3399999999</v>
      </c>
      <c r="AD53" s="41">
        <v>174637.41000000015</v>
      </c>
      <c r="AE53" s="58">
        <f t="shared" si="35"/>
        <v>-6.8506749999999998</v>
      </c>
      <c r="AF53" s="58">
        <f t="shared" si="36"/>
        <v>0</v>
      </c>
      <c r="AG53" s="58">
        <f t="shared" si="37"/>
        <v>0</v>
      </c>
      <c r="AH53" s="41">
        <f t="shared" si="38"/>
        <v>174637.40710000129</v>
      </c>
      <c r="AI53" s="41">
        <f t="shared" si="39"/>
        <v>0</v>
      </c>
      <c r="AJ53" s="41">
        <f t="shared" si="40"/>
        <v>0</v>
      </c>
      <c r="AK53" s="42">
        <v>0</v>
      </c>
      <c r="AL53" s="41">
        <v>174637.49999999814</v>
      </c>
      <c r="AM53" s="41">
        <v>-9300236.2899999972</v>
      </c>
      <c r="AN53" s="64">
        <f t="shared" si="41"/>
        <v>-9125598.7899999991</v>
      </c>
      <c r="AO53" s="73">
        <f t="shared" si="42"/>
        <v>123614.40434000091</v>
      </c>
      <c r="AP53" s="73">
        <f t="shared" si="43"/>
        <v>51023.002760000374</v>
      </c>
    </row>
    <row r="54" spans="2:42" x14ac:dyDescent="0.25">
      <c r="B54" s="44" t="s">
        <v>387</v>
      </c>
      <c r="C54" s="45" t="s">
        <v>2</v>
      </c>
      <c r="D54" s="45" t="s">
        <v>324</v>
      </c>
      <c r="E54" s="45">
        <v>25</v>
      </c>
      <c r="F54" s="45" t="s">
        <v>372</v>
      </c>
      <c r="G54" s="33">
        <v>4.6800000000000001E-3</v>
      </c>
      <c r="H54" s="34">
        <v>100</v>
      </c>
      <c r="I54" s="35" t="s">
        <v>364</v>
      </c>
      <c r="J54" s="36">
        <v>-4.849145</v>
      </c>
      <c r="K54" s="36">
        <v>-5.7936959999999997</v>
      </c>
      <c r="L54" s="53">
        <f t="shared" si="28"/>
        <v>-484914.5</v>
      </c>
      <c r="M54" s="53">
        <f t="shared" si="29"/>
        <v>-94455.099999999977</v>
      </c>
      <c r="N54" s="53">
        <f t="shared" si="30"/>
        <v>-579369.6</v>
      </c>
      <c r="O54" s="36">
        <v>0</v>
      </c>
      <c r="P54" s="36">
        <v>0</v>
      </c>
      <c r="Q54" s="36">
        <f t="shared" si="31"/>
        <v>0</v>
      </c>
      <c r="R54" s="36">
        <f t="shared" si="32"/>
        <v>0</v>
      </c>
      <c r="S54" s="36">
        <f>IF(C54&lt;&gt;"Offshore",0,IFERROR(VLOOKUP(D54,'Local Tariffs'!$A$4:$B$98,2,0),VLOOKUP(A54,'Local Tariffs'!$A$4:$B$98,2,0)))</f>
        <v>0</v>
      </c>
      <c r="T54" s="36">
        <f>IF(C54&lt;&gt;"Offshore",0,VLOOKUP(I54,'Local Tariffs'!$E$4:$F$38,2,0))</f>
        <v>0</v>
      </c>
      <c r="U54" s="53">
        <f t="shared" si="33"/>
        <v>0</v>
      </c>
      <c r="V54" s="53">
        <f t="shared" si="34"/>
        <v>0</v>
      </c>
      <c r="W54" s="36">
        <v>-5.7936959999999997</v>
      </c>
      <c r="X54" s="37">
        <v>-579369.6</v>
      </c>
      <c r="Y54" s="37">
        <v>-579369.6</v>
      </c>
      <c r="Z54" s="38">
        <v>-5.7936959999999997</v>
      </c>
      <c r="AA54" s="39">
        <v>-579369.6</v>
      </c>
      <c r="AB54" s="40">
        <v>95.589999999999989</v>
      </c>
      <c r="AC54" s="41">
        <v>-553819.4</v>
      </c>
      <c r="AD54" s="41">
        <v>25550.199999999953</v>
      </c>
      <c r="AE54" s="58">
        <f t="shared" si="35"/>
        <v>-5.7936959999999997</v>
      </c>
      <c r="AF54" s="58">
        <f t="shared" si="36"/>
        <v>0</v>
      </c>
      <c r="AG54" s="58">
        <f t="shared" si="37"/>
        <v>0</v>
      </c>
      <c r="AH54" s="41">
        <f t="shared" si="38"/>
        <v>25550.199360000061</v>
      </c>
      <c r="AI54" s="41">
        <f t="shared" si="39"/>
        <v>0</v>
      </c>
      <c r="AJ54" s="41">
        <f t="shared" si="40"/>
        <v>0</v>
      </c>
      <c r="AK54" s="42">
        <v>8280.7099999999991</v>
      </c>
      <c r="AL54" s="41">
        <v>-545538.69000000006</v>
      </c>
      <c r="AM54" s="41">
        <v>0</v>
      </c>
      <c r="AN54" s="64">
        <f t="shared" si="41"/>
        <v>-545538.69000000006</v>
      </c>
      <c r="AO54" s="73">
        <f t="shared" si="42"/>
        <v>21384.72945000005</v>
      </c>
      <c r="AP54" s="73">
        <f t="shared" si="43"/>
        <v>4165.4699100000089</v>
      </c>
    </row>
    <row r="55" spans="2:42" x14ac:dyDescent="0.25">
      <c r="B55" s="44" t="s">
        <v>388</v>
      </c>
      <c r="C55" s="45" t="s">
        <v>323</v>
      </c>
      <c r="D55" s="45" t="s">
        <v>388</v>
      </c>
      <c r="E55" s="45">
        <v>19</v>
      </c>
      <c r="F55" s="45" t="s">
        <v>374</v>
      </c>
      <c r="G55" s="33">
        <v>0.14882300000000001</v>
      </c>
      <c r="H55" s="34">
        <v>1644</v>
      </c>
      <c r="I55" s="35" t="s">
        <v>389</v>
      </c>
      <c r="J55" s="36">
        <v>-4.849145</v>
      </c>
      <c r="K55" s="36">
        <v>-1.1268720000000001</v>
      </c>
      <c r="L55" s="53">
        <f t="shared" si="28"/>
        <v>-7971994.3799999999</v>
      </c>
      <c r="M55" s="53">
        <f t="shared" si="29"/>
        <v>6119416.8119999999</v>
      </c>
      <c r="N55" s="53">
        <f t="shared" si="30"/>
        <v>-1852577.568</v>
      </c>
      <c r="O55" s="36">
        <v>2.4280249999999999</v>
      </c>
      <c r="P55" s="36">
        <v>0.26356200000000002</v>
      </c>
      <c r="Q55" s="36">
        <f t="shared" si="31"/>
        <v>2.4280249999999999</v>
      </c>
      <c r="R55" s="36">
        <f t="shared" si="32"/>
        <v>0.26356200000000002</v>
      </c>
      <c r="S55" s="36">
        <f>IF(C55&lt;&gt;"Offshore",0,IFERROR(VLOOKUP(D55,'Local Tariffs'!$A$4:$B$98,2,0),VLOOKUP(A55,'Local Tariffs'!$A$4:$B$98,2,0)))</f>
        <v>0</v>
      </c>
      <c r="T55" s="36">
        <f>IF(C55&lt;&gt;"Offshore",0,VLOOKUP(I55,'Local Tariffs'!$E$4:$F$38,2,0))</f>
        <v>0</v>
      </c>
      <c r="U55" s="53">
        <f t="shared" si="33"/>
        <v>4424969.0279999999</v>
      </c>
      <c r="V55" s="53">
        <f t="shared" si="34"/>
        <v>0</v>
      </c>
      <c r="W55" s="36">
        <v>1.5647149999999999</v>
      </c>
      <c r="X55" s="37">
        <v>2572391.46</v>
      </c>
      <c r="Y55" s="37">
        <v>0.31000000005587935</v>
      </c>
      <c r="Z55" s="38">
        <v>-1.1268720000000001</v>
      </c>
      <c r="AA55" s="39">
        <v>-1852577.57</v>
      </c>
      <c r="AB55" s="40">
        <v>1198.8333333333333</v>
      </c>
      <c r="AC55" s="41">
        <v>-1350931.72</v>
      </c>
      <c r="AD55" s="41">
        <v>501645.85000000009</v>
      </c>
      <c r="AE55" s="58">
        <f t="shared" si="35"/>
        <v>-1.1268720000000001</v>
      </c>
      <c r="AF55" s="58">
        <f t="shared" si="36"/>
        <v>0</v>
      </c>
      <c r="AG55" s="58">
        <f t="shared" si="37"/>
        <v>0</v>
      </c>
      <c r="AH55" s="41">
        <f t="shared" si="38"/>
        <v>501645.85200000013</v>
      </c>
      <c r="AI55" s="41">
        <f t="shared" si="39"/>
        <v>0</v>
      </c>
      <c r="AJ55" s="41">
        <f t="shared" si="40"/>
        <v>0</v>
      </c>
      <c r="AK55" s="42">
        <v>0</v>
      </c>
      <c r="AL55" s="41">
        <v>501646.16000000015</v>
      </c>
      <c r="AM55" s="41">
        <v>2572391.15</v>
      </c>
      <c r="AN55" s="64">
        <f t="shared" si="41"/>
        <v>3074037.31</v>
      </c>
      <c r="AO55" s="73">
        <f t="shared" si="42"/>
        <v>501645.85200000013</v>
      </c>
      <c r="AP55" s="73">
        <f t="shared" si="43"/>
        <v>0</v>
      </c>
    </row>
    <row r="56" spans="2:42" x14ac:dyDescent="0.25">
      <c r="B56" s="44" t="s">
        <v>390</v>
      </c>
      <c r="C56" s="45" t="s">
        <v>323</v>
      </c>
      <c r="D56" s="45" t="s">
        <v>390</v>
      </c>
      <c r="E56" s="45">
        <v>1</v>
      </c>
      <c r="F56" s="45" t="s">
        <v>328</v>
      </c>
      <c r="G56" s="33">
        <v>0.370145</v>
      </c>
      <c r="H56" s="34">
        <v>177</v>
      </c>
      <c r="I56" s="35" t="s">
        <v>331</v>
      </c>
      <c r="J56" s="36">
        <v>-4.849145</v>
      </c>
      <c r="K56" s="36">
        <v>17.892030999999999</v>
      </c>
      <c r="L56" s="53">
        <f t="shared" si="28"/>
        <v>-858298.66500000004</v>
      </c>
      <c r="M56" s="53">
        <f t="shared" si="29"/>
        <v>4025188.1519999998</v>
      </c>
      <c r="N56" s="53">
        <f t="shared" si="30"/>
        <v>3166889.4869999997</v>
      </c>
      <c r="O56" s="36">
        <v>2.1237780000000002</v>
      </c>
      <c r="P56" s="36">
        <v>0.44758700000000001</v>
      </c>
      <c r="Q56" s="36">
        <f t="shared" si="31"/>
        <v>2.1237780000000002</v>
      </c>
      <c r="R56" s="36">
        <f t="shared" si="32"/>
        <v>0.44758700000000001</v>
      </c>
      <c r="S56" s="36">
        <f>IF(C56&lt;&gt;"Offshore",0,IFERROR(VLOOKUP(D56,'Local Tariffs'!$A$4:$B$98,2,0),VLOOKUP(A56,'Local Tariffs'!$A$4:$B$98,2,0)))</f>
        <v>0</v>
      </c>
      <c r="T56" s="36">
        <f>IF(C56&lt;&gt;"Offshore",0,VLOOKUP(I56,'Local Tariffs'!$E$4:$F$38,2,0))</f>
        <v>0</v>
      </c>
      <c r="U56" s="53">
        <f t="shared" si="33"/>
        <v>455131.60500000004</v>
      </c>
      <c r="V56" s="53">
        <f t="shared" si="34"/>
        <v>0</v>
      </c>
      <c r="W56" s="36">
        <v>20.463395999999999</v>
      </c>
      <c r="X56" s="37">
        <v>3622021.09</v>
      </c>
      <c r="Y56" s="37">
        <v>-1.0000000242143869E-2</v>
      </c>
      <c r="Z56" s="38">
        <v>0</v>
      </c>
      <c r="AA56" s="39">
        <v>0</v>
      </c>
      <c r="AB56" s="40">
        <v>0</v>
      </c>
      <c r="AC56" s="41">
        <v>0</v>
      </c>
      <c r="AD56" s="41">
        <v>0</v>
      </c>
      <c r="AE56" s="58">
        <f t="shared" si="35"/>
        <v>0</v>
      </c>
      <c r="AF56" s="58">
        <f t="shared" si="36"/>
        <v>0</v>
      </c>
      <c r="AG56" s="58">
        <f t="shared" si="37"/>
        <v>0</v>
      </c>
      <c r="AH56" s="41">
        <f t="shared" si="38"/>
        <v>0</v>
      </c>
      <c r="AI56" s="41">
        <f t="shared" si="39"/>
        <v>0</v>
      </c>
      <c r="AJ56" s="41">
        <f t="shared" si="40"/>
        <v>0</v>
      </c>
      <c r="AK56" s="42">
        <v>0</v>
      </c>
      <c r="AL56" s="41">
        <v>-1.0000000242143869E-2</v>
      </c>
      <c r="AM56" s="41">
        <v>3622021.1</v>
      </c>
      <c r="AN56" s="64">
        <f t="shared" si="41"/>
        <v>3622021.09</v>
      </c>
      <c r="AO56" s="73">
        <f t="shared" si="42"/>
        <v>0</v>
      </c>
      <c r="AP56" s="73">
        <f t="shared" si="43"/>
        <v>0</v>
      </c>
    </row>
    <row r="57" spans="2:42" x14ac:dyDescent="0.25">
      <c r="B57" s="44" t="s">
        <v>391</v>
      </c>
      <c r="C57" s="45" t="s">
        <v>323</v>
      </c>
      <c r="D57" s="45" t="s">
        <v>324</v>
      </c>
      <c r="E57" s="45">
        <v>15</v>
      </c>
      <c r="F57" s="45" t="s">
        <v>325</v>
      </c>
      <c r="G57" s="33">
        <v>0.64787700000000004</v>
      </c>
      <c r="H57" s="34">
        <v>3906</v>
      </c>
      <c r="I57" s="35" t="s">
        <v>362</v>
      </c>
      <c r="J57" s="36">
        <v>-4.849145</v>
      </c>
      <c r="K57" s="36">
        <v>0.7940167764249999</v>
      </c>
      <c r="L57" s="53">
        <f t="shared" si="28"/>
        <v>-18940760.370000001</v>
      </c>
      <c r="M57" s="53">
        <f t="shared" si="29"/>
        <v>22042189.898716051</v>
      </c>
      <c r="N57" s="53">
        <f t="shared" si="30"/>
        <v>3101429.5287160501</v>
      </c>
      <c r="O57" s="36">
        <v>0</v>
      </c>
      <c r="P57" s="36">
        <v>0.43671900000000002</v>
      </c>
      <c r="Q57" s="36">
        <f t="shared" si="31"/>
        <v>0</v>
      </c>
      <c r="R57" s="36">
        <f t="shared" si="32"/>
        <v>0.43671900000000002</v>
      </c>
      <c r="S57" s="36">
        <f>IF(C57&lt;&gt;"Offshore",0,IFERROR(VLOOKUP(D57,'Local Tariffs'!$A$4:$B$98,2,0),VLOOKUP(A57,'Local Tariffs'!$A$4:$B$98,2,0)))</f>
        <v>0</v>
      </c>
      <c r="T57" s="36">
        <f>IF(C57&lt;&gt;"Offshore",0,VLOOKUP(I57,'Local Tariffs'!$E$4:$F$38,2,0))</f>
        <v>0</v>
      </c>
      <c r="U57" s="53">
        <f t="shared" si="33"/>
        <v>1705824.4140000001</v>
      </c>
      <c r="V57" s="53">
        <f t="shared" si="34"/>
        <v>0</v>
      </c>
      <c r="W57" s="36">
        <v>1.230735776425</v>
      </c>
      <c r="X57" s="37">
        <v>4807253.9400000004</v>
      </c>
      <c r="Y57" s="37">
        <v>4.9999999813735485E-2</v>
      </c>
      <c r="Z57" s="38">
        <v>0</v>
      </c>
      <c r="AA57" s="39">
        <v>0</v>
      </c>
      <c r="AB57" s="40">
        <v>0</v>
      </c>
      <c r="AC57" s="41">
        <v>0</v>
      </c>
      <c r="AD57" s="41">
        <v>0</v>
      </c>
      <c r="AE57" s="58">
        <f t="shared" si="35"/>
        <v>0</v>
      </c>
      <c r="AF57" s="58">
        <f t="shared" si="36"/>
        <v>0</v>
      </c>
      <c r="AG57" s="58">
        <f t="shared" si="37"/>
        <v>0</v>
      </c>
      <c r="AH57" s="41">
        <f t="shared" si="38"/>
        <v>0</v>
      </c>
      <c r="AI57" s="41">
        <f t="shared" si="39"/>
        <v>0</v>
      </c>
      <c r="AJ57" s="41">
        <f t="shared" si="40"/>
        <v>0</v>
      </c>
      <c r="AK57" s="42">
        <v>0</v>
      </c>
      <c r="AL57" s="41">
        <v>4.9999999813735485E-2</v>
      </c>
      <c r="AM57" s="41">
        <v>4807253.8900000006</v>
      </c>
      <c r="AN57" s="64">
        <f t="shared" si="41"/>
        <v>4807253.9400000004</v>
      </c>
      <c r="AO57" s="73">
        <f t="shared" si="42"/>
        <v>0</v>
      </c>
      <c r="AP57" s="73">
        <f t="shared" si="43"/>
        <v>0</v>
      </c>
    </row>
    <row r="58" spans="2:42" x14ac:dyDescent="0.25">
      <c r="B58" s="44" t="s">
        <v>392</v>
      </c>
      <c r="C58" s="45" t="s">
        <v>318</v>
      </c>
      <c r="D58" s="32" t="s">
        <v>392</v>
      </c>
      <c r="E58" s="45">
        <v>17</v>
      </c>
      <c r="F58" s="45" t="s">
        <v>320</v>
      </c>
      <c r="G58" s="33">
        <v>0.45569900000000002</v>
      </c>
      <c r="H58" s="34">
        <v>400</v>
      </c>
      <c r="I58" s="35" t="s">
        <v>393</v>
      </c>
      <c r="J58" s="36">
        <v>-4.849145</v>
      </c>
      <c r="K58" s="36">
        <v>-4.6791970000000003</v>
      </c>
      <c r="L58" s="53">
        <f t="shared" si="28"/>
        <v>-1939658</v>
      </c>
      <c r="M58" s="53">
        <f t="shared" si="29"/>
        <v>67979.19999999991</v>
      </c>
      <c r="N58" s="53">
        <f t="shared" si="30"/>
        <v>-1871678.8</v>
      </c>
      <c r="O58" s="36">
        <v>25.035829</v>
      </c>
      <c r="P58" s="36">
        <v>15.326966000000001</v>
      </c>
      <c r="Q58" s="36">
        <f t="shared" si="31"/>
        <v>1.1369340000000001</v>
      </c>
      <c r="R58" s="36">
        <f t="shared" si="32"/>
        <v>0</v>
      </c>
      <c r="S58" s="36">
        <f>IF(C58&lt;&gt;"Offshore",0,IFERROR(VLOOKUP(D58,'Local Tariffs'!$A$4:$B$98,2,0),VLOOKUP(A58,'Local Tariffs'!$A$4:$B$98,2,0)))</f>
        <v>23.898895</v>
      </c>
      <c r="T58" s="36">
        <f>IF(C58&lt;&gt;"Offshore",0,VLOOKUP(I58,'Local Tariffs'!$E$4:$F$38,2,0))</f>
        <v>15.326966000000001</v>
      </c>
      <c r="U58" s="53">
        <f t="shared" si="33"/>
        <v>454773.60000000003</v>
      </c>
      <c r="V58" s="53">
        <f t="shared" si="34"/>
        <v>15690344.4</v>
      </c>
      <c r="W58" s="36">
        <v>35.683597999999996</v>
      </c>
      <c r="X58" s="37">
        <v>14273439.199999999</v>
      </c>
      <c r="Y58" s="37">
        <v>37754.85000000149</v>
      </c>
      <c r="Z58" s="38">
        <v>-4.6791970000000003</v>
      </c>
      <c r="AA58" s="39">
        <v>-1871678.8</v>
      </c>
      <c r="AB58" s="40">
        <v>394.74200000000002</v>
      </c>
      <c r="AC58" s="41">
        <v>-1847075.58</v>
      </c>
      <c r="AD58" s="41">
        <v>24603.219999999972</v>
      </c>
      <c r="AE58" s="58">
        <f t="shared" si="35"/>
        <v>-4.6791970000000003</v>
      </c>
      <c r="AF58" s="58">
        <f t="shared" si="36"/>
        <v>0</v>
      </c>
      <c r="AG58" s="58">
        <f t="shared" si="37"/>
        <v>0</v>
      </c>
      <c r="AH58" s="41">
        <f t="shared" si="38"/>
        <v>24603.217825999913</v>
      </c>
      <c r="AI58" s="41">
        <f t="shared" si="39"/>
        <v>0</v>
      </c>
      <c r="AJ58" s="41">
        <f t="shared" si="40"/>
        <v>0</v>
      </c>
      <c r="AK58" s="42">
        <v>0</v>
      </c>
      <c r="AL58" s="41">
        <v>62358.070000001462</v>
      </c>
      <c r="AM58" s="41">
        <v>14235684.349999998</v>
      </c>
      <c r="AN58" s="64">
        <f t="shared" si="41"/>
        <v>14298042.42</v>
      </c>
      <c r="AO58" s="73">
        <f t="shared" si="42"/>
        <v>24603.217825999913</v>
      </c>
      <c r="AP58" s="73">
        <f t="shared" si="43"/>
        <v>0</v>
      </c>
    </row>
    <row r="59" spans="2:42" x14ac:dyDescent="0.25">
      <c r="B59" s="44" t="s">
        <v>394</v>
      </c>
      <c r="C59" s="45" t="s">
        <v>323</v>
      </c>
      <c r="D59" s="45" t="s">
        <v>324</v>
      </c>
      <c r="E59" s="45">
        <v>24</v>
      </c>
      <c r="F59" s="45" t="s">
        <v>395</v>
      </c>
      <c r="G59" s="33">
        <v>0.64554</v>
      </c>
      <c r="H59" s="34">
        <v>1120</v>
      </c>
      <c r="I59" s="35" t="s">
        <v>356</v>
      </c>
      <c r="J59" s="36">
        <v>-4.849145</v>
      </c>
      <c r="K59" s="36">
        <v>-6.7823899999999995</v>
      </c>
      <c r="L59" s="53">
        <f t="shared" si="28"/>
        <v>-5431042.4000000004</v>
      </c>
      <c r="M59" s="53">
        <f t="shared" si="29"/>
        <v>-2165234.3999999994</v>
      </c>
      <c r="N59" s="53">
        <f t="shared" si="30"/>
        <v>-7596276.7999999998</v>
      </c>
      <c r="O59" s="36">
        <v>0</v>
      </c>
      <c r="P59" s="36">
        <v>0.201402</v>
      </c>
      <c r="Q59" s="36">
        <f t="shared" si="31"/>
        <v>0</v>
      </c>
      <c r="R59" s="36">
        <f t="shared" si="32"/>
        <v>0.201402</v>
      </c>
      <c r="S59" s="36">
        <f>IF(C59&lt;&gt;"Offshore",0,IFERROR(VLOOKUP(D59,'Local Tariffs'!$A$4:$B$98,2,0),VLOOKUP(A59,'Local Tariffs'!$A$4:$B$98,2,0)))</f>
        <v>0</v>
      </c>
      <c r="T59" s="36">
        <f>IF(C59&lt;&gt;"Offshore",0,VLOOKUP(I59,'Local Tariffs'!$E$4:$F$38,2,0))</f>
        <v>0</v>
      </c>
      <c r="U59" s="53">
        <f t="shared" si="33"/>
        <v>225570.24</v>
      </c>
      <c r="V59" s="53">
        <f t="shared" si="34"/>
        <v>0</v>
      </c>
      <c r="W59" s="36">
        <v>-6.5809879999999996</v>
      </c>
      <c r="X59" s="37">
        <v>-7370706.5599999996</v>
      </c>
      <c r="Y59" s="37">
        <v>0.25000000093132257</v>
      </c>
      <c r="Z59" s="38">
        <v>-6.7823899999999995</v>
      </c>
      <c r="AA59" s="39">
        <v>-7596276.7999999998</v>
      </c>
      <c r="AB59" s="40">
        <v>0</v>
      </c>
      <c r="AC59" s="41">
        <v>0</v>
      </c>
      <c r="AD59" s="41">
        <v>7596276.7999999998</v>
      </c>
      <c r="AE59" s="58">
        <f t="shared" si="35"/>
        <v>-6.7823899999999995</v>
      </c>
      <c r="AF59" s="58">
        <f t="shared" si="36"/>
        <v>0</v>
      </c>
      <c r="AG59" s="58">
        <f t="shared" si="37"/>
        <v>0</v>
      </c>
      <c r="AH59" s="41">
        <f t="shared" si="38"/>
        <v>7596276.7999999998</v>
      </c>
      <c r="AI59" s="41">
        <f t="shared" si="39"/>
        <v>0</v>
      </c>
      <c r="AJ59" s="41">
        <f t="shared" si="40"/>
        <v>0</v>
      </c>
      <c r="AK59" s="42">
        <v>1835933.41</v>
      </c>
      <c r="AL59" s="41">
        <v>9432210.4600000009</v>
      </c>
      <c r="AM59" s="41">
        <v>-7370706.8100000005</v>
      </c>
      <c r="AN59" s="64">
        <f t="shared" si="41"/>
        <v>2061503.6500000004</v>
      </c>
      <c r="AO59" s="73">
        <f t="shared" si="42"/>
        <v>5431042.4000000004</v>
      </c>
      <c r="AP59" s="73">
        <f t="shared" si="43"/>
        <v>2165234.3999999994</v>
      </c>
    </row>
    <row r="60" spans="2:42" x14ac:dyDescent="0.25">
      <c r="B60" s="44" t="s">
        <v>396</v>
      </c>
      <c r="C60" s="45" t="s">
        <v>323</v>
      </c>
      <c r="D60" s="45" t="s">
        <v>396</v>
      </c>
      <c r="E60" s="45">
        <v>11</v>
      </c>
      <c r="F60" s="45" t="s">
        <v>328</v>
      </c>
      <c r="G60" s="33">
        <v>0.29220099999999999</v>
      </c>
      <c r="H60" s="34">
        <v>29.75</v>
      </c>
      <c r="I60" s="35" t="s">
        <v>321</v>
      </c>
      <c r="J60" s="36">
        <v>-4.849145</v>
      </c>
      <c r="K60" s="36">
        <v>-6.8332940000000004</v>
      </c>
      <c r="L60" s="53">
        <f t="shared" si="28"/>
        <v>-144262.06375</v>
      </c>
      <c r="M60" s="53">
        <f t="shared" si="29"/>
        <v>-59028.432750000014</v>
      </c>
      <c r="N60" s="53">
        <f t="shared" si="30"/>
        <v>-203290.49650000001</v>
      </c>
      <c r="O60" s="36">
        <v>1.526206</v>
      </c>
      <c r="P60" s="36">
        <v>0.203179</v>
      </c>
      <c r="Q60" s="36">
        <f t="shared" si="31"/>
        <v>1.526206</v>
      </c>
      <c r="R60" s="36">
        <f t="shared" si="32"/>
        <v>0.203179</v>
      </c>
      <c r="S60" s="36">
        <f>IF(C60&lt;&gt;"Offshore",0,IFERROR(VLOOKUP(D60,'Local Tariffs'!$A$4:$B$98,2,0),VLOOKUP(A60,'Local Tariffs'!$A$4:$B$98,2,0)))</f>
        <v>0</v>
      </c>
      <c r="T60" s="36">
        <f>IF(C60&lt;&gt;"Offshore",0,VLOOKUP(I60,'Local Tariffs'!$E$4:$F$38,2,0))</f>
        <v>0</v>
      </c>
      <c r="U60" s="53">
        <f t="shared" si="33"/>
        <v>51449.203749999993</v>
      </c>
      <c r="V60" s="53">
        <f t="shared" si="34"/>
        <v>0</v>
      </c>
      <c r="W60" s="36">
        <v>-5.1039089999999998</v>
      </c>
      <c r="X60" s="37">
        <v>-151841.29</v>
      </c>
      <c r="Y60" s="37">
        <v>-1.0000000009313226E-2</v>
      </c>
      <c r="Z60" s="38">
        <v>-6.8332940000000004</v>
      </c>
      <c r="AA60" s="39">
        <v>-203290.5</v>
      </c>
      <c r="AB60" s="40">
        <v>28.122666666666664</v>
      </c>
      <c r="AC60" s="41">
        <v>-192170.45</v>
      </c>
      <c r="AD60" s="41">
        <v>11120.049999999988</v>
      </c>
      <c r="AE60" s="58">
        <f t="shared" si="35"/>
        <v>-6.8332940000000004</v>
      </c>
      <c r="AF60" s="58">
        <f t="shared" si="36"/>
        <v>0</v>
      </c>
      <c r="AG60" s="58">
        <f t="shared" si="37"/>
        <v>0</v>
      </c>
      <c r="AH60" s="41">
        <f t="shared" si="38"/>
        <v>11120.047102666687</v>
      </c>
      <c r="AI60" s="41">
        <f t="shared" si="39"/>
        <v>0</v>
      </c>
      <c r="AJ60" s="41">
        <f t="shared" si="40"/>
        <v>0</v>
      </c>
      <c r="AK60" s="42">
        <v>191.74</v>
      </c>
      <c r="AL60" s="41">
        <v>11311.779999999979</v>
      </c>
      <c r="AM60" s="41">
        <v>-151841.28</v>
      </c>
      <c r="AN60" s="64">
        <f t="shared" si="41"/>
        <v>-140529.50000000003</v>
      </c>
      <c r="AO60" s="73">
        <f t="shared" si="42"/>
        <v>7891.17529666668</v>
      </c>
      <c r="AP60" s="73">
        <f t="shared" si="43"/>
        <v>3228.871806000006</v>
      </c>
    </row>
    <row r="61" spans="2:42" x14ac:dyDescent="0.25">
      <c r="B61" s="44" t="s">
        <v>397</v>
      </c>
      <c r="C61" s="45" t="s">
        <v>323</v>
      </c>
      <c r="D61" s="45" t="s">
        <v>397</v>
      </c>
      <c r="E61" s="45">
        <v>1</v>
      </c>
      <c r="F61" s="45" t="s">
        <v>328</v>
      </c>
      <c r="G61" s="33">
        <v>0.55395899999999998</v>
      </c>
      <c r="H61" s="34">
        <v>94</v>
      </c>
      <c r="I61" s="35" t="s">
        <v>321</v>
      </c>
      <c r="J61" s="36">
        <v>-4.849145</v>
      </c>
      <c r="K61" s="36">
        <v>10.183815000000001</v>
      </c>
      <c r="L61" s="53">
        <f t="shared" si="28"/>
        <v>-455819.63</v>
      </c>
      <c r="M61" s="53">
        <f t="shared" si="29"/>
        <v>1413098.24</v>
      </c>
      <c r="N61" s="53">
        <f t="shared" si="30"/>
        <v>957278.61</v>
      </c>
      <c r="O61" s="36">
        <v>1.1469830000000001</v>
      </c>
      <c r="P61" s="36">
        <v>0.203179</v>
      </c>
      <c r="Q61" s="36">
        <f t="shared" si="31"/>
        <v>1.1469830000000001</v>
      </c>
      <c r="R61" s="36">
        <f t="shared" si="32"/>
        <v>0.203179</v>
      </c>
      <c r="S61" s="36">
        <f>IF(C61&lt;&gt;"Offshore",0,IFERROR(VLOOKUP(D61,'Local Tariffs'!$A$4:$B$98,2,0),VLOOKUP(A61,'Local Tariffs'!$A$4:$B$98,2,0)))</f>
        <v>0</v>
      </c>
      <c r="T61" s="36">
        <f>IF(C61&lt;&gt;"Offshore",0,VLOOKUP(I61,'Local Tariffs'!$E$4:$F$38,2,0))</f>
        <v>0</v>
      </c>
      <c r="U61" s="53">
        <f t="shared" si="33"/>
        <v>126915.22800000002</v>
      </c>
      <c r="V61" s="53">
        <f t="shared" si="34"/>
        <v>0</v>
      </c>
      <c r="W61" s="36">
        <v>11.533977000000002</v>
      </c>
      <c r="X61" s="37">
        <v>1084193.8400000001</v>
      </c>
      <c r="Y61" s="37">
        <v>-3.0000000027939677E-2</v>
      </c>
      <c r="Z61" s="38">
        <v>0</v>
      </c>
      <c r="AA61" s="39">
        <v>0</v>
      </c>
      <c r="AB61" s="40">
        <v>0</v>
      </c>
      <c r="AC61" s="41">
        <v>0</v>
      </c>
      <c r="AD61" s="41">
        <v>0</v>
      </c>
      <c r="AE61" s="58">
        <f t="shared" si="35"/>
        <v>0</v>
      </c>
      <c r="AF61" s="58">
        <f t="shared" si="36"/>
        <v>0</v>
      </c>
      <c r="AG61" s="58">
        <f t="shared" si="37"/>
        <v>0</v>
      </c>
      <c r="AH61" s="41">
        <f t="shared" si="38"/>
        <v>0</v>
      </c>
      <c r="AI61" s="41">
        <f t="shared" si="39"/>
        <v>0</v>
      </c>
      <c r="AJ61" s="41">
        <f t="shared" si="40"/>
        <v>0</v>
      </c>
      <c r="AK61" s="42">
        <v>0</v>
      </c>
      <c r="AL61" s="41">
        <v>-3.0000000027939677E-2</v>
      </c>
      <c r="AM61" s="41">
        <v>1084193.8700000001</v>
      </c>
      <c r="AN61" s="64">
        <f t="shared" si="41"/>
        <v>1084193.8400000001</v>
      </c>
      <c r="AO61" s="73">
        <f t="shared" si="42"/>
        <v>0</v>
      </c>
      <c r="AP61" s="73">
        <f t="shared" si="43"/>
        <v>0</v>
      </c>
    </row>
    <row r="62" spans="2:42" x14ac:dyDescent="0.25">
      <c r="B62" s="44" t="s">
        <v>398</v>
      </c>
      <c r="C62" s="45" t="s">
        <v>318</v>
      </c>
      <c r="D62" s="32" t="s">
        <v>324</v>
      </c>
      <c r="E62" s="45">
        <v>18</v>
      </c>
      <c r="F62" s="45" t="s">
        <v>320</v>
      </c>
      <c r="G62" s="33">
        <v>0.48320400000000002</v>
      </c>
      <c r="H62" s="34">
        <v>680</v>
      </c>
      <c r="I62" s="35" t="s">
        <v>399</v>
      </c>
      <c r="J62" s="36">
        <v>-4.849145</v>
      </c>
      <c r="K62" s="36">
        <v>-4.3499020000000002</v>
      </c>
      <c r="L62" s="53">
        <f t="shared" si="28"/>
        <v>-3297418.6</v>
      </c>
      <c r="M62" s="53">
        <f t="shared" si="29"/>
        <v>339485.23999999993</v>
      </c>
      <c r="N62" s="53">
        <f t="shared" si="30"/>
        <v>-2957933.3600000003</v>
      </c>
      <c r="O62" s="36">
        <v>0</v>
      </c>
      <c r="P62" s="36">
        <v>0</v>
      </c>
      <c r="Q62" s="36">
        <f t="shared" si="31"/>
        <v>0</v>
      </c>
      <c r="R62" s="36">
        <f t="shared" si="32"/>
        <v>0</v>
      </c>
      <c r="S62" s="46">
        <v>0</v>
      </c>
      <c r="T62" s="46">
        <v>0</v>
      </c>
      <c r="U62" s="53">
        <f t="shared" si="33"/>
        <v>0</v>
      </c>
      <c r="V62" s="53">
        <f t="shared" si="34"/>
        <v>0</v>
      </c>
      <c r="W62" s="36">
        <v>-4.3499020000000002</v>
      </c>
      <c r="X62" s="37">
        <v>-2957933.36</v>
      </c>
      <c r="Y62" s="37">
        <v>-0.32000000029802322</v>
      </c>
      <c r="Z62" s="38">
        <v>-4.3499020000000002</v>
      </c>
      <c r="AA62" s="39">
        <v>-2957933.36</v>
      </c>
      <c r="AB62" s="40">
        <v>679.93466666666666</v>
      </c>
      <c r="AC62" s="41">
        <v>-2957649.17</v>
      </c>
      <c r="AD62" s="41">
        <v>284.18999999994412</v>
      </c>
      <c r="AE62" s="58">
        <f t="shared" si="35"/>
        <v>-4.3499020000000002</v>
      </c>
      <c r="AF62" s="58">
        <f t="shared" si="36"/>
        <v>0</v>
      </c>
      <c r="AG62" s="58">
        <f t="shared" si="37"/>
        <v>0</v>
      </c>
      <c r="AH62" s="41">
        <f t="shared" si="38"/>
        <v>284.1935973333716</v>
      </c>
      <c r="AI62" s="41">
        <f t="shared" si="39"/>
        <v>0</v>
      </c>
      <c r="AJ62" s="41">
        <f t="shared" si="40"/>
        <v>0</v>
      </c>
      <c r="AK62" s="42">
        <v>0</v>
      </c>
      <c r="AL62" s="41">
        <v>283.8699999996461</v>
      </c>
      <c r="AM62" s="41">
        <v>-2957933.0399999996</v>
      </c>
      <c r="AN62" s="64">
        <f t="shared" si="41"/>
        <v>-2957649.17</v>
      </c>
      <c r="AO62" s="73">
        <f t="shared" si="42"/>
        <v>284.1935973333716</v>
      </c>
      <c r="AP62" s="73">
        <f t="shared" si="43"/>
        <v>0</v>
      </c>
    </row>
    <row r="63" spans="2:42" x14ac:dyDescent="0.25">
      <c r="B63" s="44" t="s">
        <v>400</v>
      </c>
      <c r="C63" s="45" t="s">
        <v>323</v>
      </c>
      <c r="D63" s="45" t="s">
        <v>401</v>
      </c>
      <c r="E63" s="45">
        <v>4</v>
      </c>
      <c r="F63" s="45" t="s">
        <v>328</v>
      </c>
      <c r="G63" s="33">
        <v>0.34029199999999998</v>
      </c>
      <c r="H63" s="34">
        <v>41.4</v>
      </c>
      <c r="I63" s="35" t="s">
        <v>321</v>
      </c>
      <c r="J63" s="36">
        <v>-4.849145</v>
      </c>
      <c r="K63" s="36">
        <v>4.9509030000000021</v>
      </c>
      <c r="L63" s="53">
        <f t="shared" si="28"/>
        <v>-200754.603</v>
      </c>
      <c r="M63" s="53">
        <f t="shared" si="29"/>
        <v>405721.98720000003</v>
      </c>
      <c r="N63" s="53">
        <f t="shared" si="30"/>
        <v>204967.38420000003</v>
      </c>
      <c r="O63" s="36">
        <v>6.9274889999999996</v>
      </c>
      <c r="P63" s="36">
        <v>0.203179</v>
      </c>
      <c r="Q63" s="36">
        <f t="shared" si="31"/>
        <v>6.9274889999999996</v>
      </c>
      <c r="R63" s="36">
        <f t="shared" si="32"/>
        <v>0.203179</v>
      </c>
      <c r="S63" s="36">
        <f>IF(C63&lt;&gt;"Offshore",0,IFERROR(VLOOKUP(D63,'Local Tariffs'!$A$4:$B$98,2,0),VLOOKUP(A63,'Local Tariffs'!$A$4:$B$98,2,0)))</f>
        <v>0</v>
      </c>
      <c r="T63" s="36">
        <f>IF(C63&lt;&gt;"Offshore",0,VLOOKUP(I63,'Local Tariffs'!$E$4:$F$38,2,0))</f>
        <v>0</v>
      </c>
      <c r="U63" s="53">
        <f t="shared" si="33"/>
        <v>295209.65519999998</v>
      </c>
      <c r="V63" s="53">
        <f t="shared" si="34"/>
        <v>0</v>
      </c>
      <c r="W63" s="36">
        <v>12.081571000000002</v>
      </c>
      <c r="X63" s="37">
        <v>500177.04</v>
      </c>
      <c r="Y63" s="37">
        <v>-1.999999990221113E-2</v>
      </c>
      <c r="Z63" s="38">
        <v>0</v>
      </c>
      <c r="AA63" s="39">
        <v>0</v>
      </c>
      <c r="AB63" s="40">
        <v>0</v>
      </c>
      <c r="AC63" s="41">
        <v>0</v>
      </c>
      <c r="AD63" s="41">
        <v>0</v>
      </c>
      <c r="AE63" s="58">
        <f t="shared" si="35"/>
        <v>0</v>
      </c>
      <c r="AF63" s="58">
        <f t="shared" si="36"/>
        <v>0</v>
      </c>
      <c r="AG63" s="58">
        <f t="shared" si="37"/>
        <v>0</v>
      </c>
      <c r="AH63" s="41">
        <f t="shared" si="38"/>
        <v>0</v>
      </c>
      <c r="AI63" s="41">
        <f t="shared" si="39"/>
        <v>0</v>
      </c>
      <c r="AJ63" s="41">
        <f t="shared" si="40"/>
        <v>0</v>
      </c>
      <c r="AK63" s="42">
        <v>0</v>
      </c>
      <c r="AL63" s="41">
        <v>-1.999999990221113E-2</v>
      </c>
      <c r="AM63" s="41">
        <v>500177.05999999988</v>
      </c>
      <c r="AN63" s="64">
        <f t="shared" si="41"/>
        <v>500177.04</v>
      </c>
      <c r="AO63" s="73">
        <f t="shared" si="42"/>
        <v>0</v>
      </c>
      <c r="AP63" s="73">
        <f t="shared" si="43"/>
        <v>0</v>
      </c>
    </row>
    <row r="64" spans="2:42" x14ac:dyDescent="0.25">
      <c r="B64" s="44" t="s">
        <v>402</v>
      </c>
      <c r="C64" s="45" t="s">
        <v>323</v>
      </c>
      <c r="D64" s="45" t="s">
        <v>324</v>
      </c>
      <c r="E64" s="45">
        <v>5</v>
      </c>
      <c r="F64" s="45" t="s">
        <v>333</v>
      </c>
      <c r="G64" s="33">
        <v>0.19828399999999999</v>
      </c>
      <c r="H64" s="34">
        <v>75</v>
      </c>
      <c r="I64" s="35" t="s">
        <v>321</v>
      </c>
      <c r="J64" s="36">
        <v>-4.849145</v>
      </c>
      <c r="K64" s="36">
        <v>4.4792320000000014</v>
      </c>
      <c r="L64" s="53">
        <f t="shared" si="28"/>
        <v>-363685.875</v>
      </c>
      <c r="M64" s="53">
        <f t="shared" si="29"/>
        <v>699628.27500000014</v>
      </c>
      <c r="N64" s="53">
        <f t="shared" si="30"/>
        <v>335942.40000000014</v>
      </c>
      <c r="O64" s="36">
        <v>0</v>
      </c>
      <c r="P64" s="36">
        <v>0.203179</v>
      </c>
      <c r="Q64" s="36">
        <f t="shared" si="31"/>
        <v>0</v>
      </c>
      <c r="R64" s="36">
        <f t="shared" si="32"/>
        <v>0.203179</v>
      </c>
      <c r="S64" s="36">
        <f>IF(C64&lt;&gt;"Offshore",0,IFERROR(VLOOKUP(D64,'Local Tariffs'!$A$4:$B$98,2,0),VLOOKUP(A64,'Local Tariffs'!$A$4:$B$98,2,0)))</f>
        <v>0</v>
      </c>
      <c r="T64" s="36">
        <f>IF(C64&lt;&gt;"Offshore",0,VLOOKUP(I64,'Local Tariffs'!$E$4:$F$38,2,0))</f>
        <v>0</v>
      </c>
      <c r="U64" s="53">
        <f t="shared" si="33"/>
        <v>15238.424999999999</v>
      </c>
      <c r="V64" s="53">
        <f t="shared" si="34"/>
        <v>0</v>
      </c>
      <c r="W64" s="36">
        <v>4.6824110000000019</v>
      </c>
      <c r="X64" s="37">
        <v>351180.83</v>
      </c>
      <c r="Y64" s="37">
        <v>9.9999999511055648E-3</v>
      </c>
      <c r="Z64" s="38">
        <v>0</v>
      </c>
      <c r="AA64" s="39">
        <v>0</v>
      </c>
      <c r="AB64" s="40">
        <v>0</v>
      </c>
      <c r="AC64" s="41">
        <v>0</v>
      </c>
      <c r="AD64" s="41">
        <v>0</v>
      </c>
      <c r="AE64" s="58">
        <f t="shared" si="35"/>
        <v>0</v>
      </c>
      <c r="AF64" s="58">
        <f t="shared" si="36"/>
        <v>0</v>
      </c>
      <c r="AG64" s="58">
        <f t="shared" si="37"/>
        <v>0</v>
      </c>
      <c r="AH64" s="41">
        <f t="shared" si="38"/>
        <v>0</v>
      </c>
      <c r="AI64" s="41">
        <f t="shared" si="39"/>
        <v>0</v>
      </c>
      <c r="AJ64" s="41">
        <f t="shared" si="40"/>
        <v>0</v>
      </c>
      <c r="AK64" s="42">
        <v>0</v>
      </c>
      <c r="AL64" s="41">
        <v>9.9999999511055648E-3</v>
      </c>
      <c r="AM64" s="41">
        <v>351180.82000000007</v>
      </c>
      <c r="AN64" s="64">
        <f t="shared" si="41"/>
        <v>351180.83</v>
      </c>
      <c r="AO64" s="73">
        <f t="shared" si="42"/>
        <v>0</v>
      </c>
      <c r="AP64" s="73">
        <f t="shared" si="43"/>
        <v>0</v>
      </c>
    </row>
    <row r="65" spans="2:42" x14ac:dyDescent="0.25">
      <c r="B65" s="44" t="s">
        <v>376</v>
      </c>
      <c r="C65" s="45" t="s">
        <v>323</v>
      </c>
      <c r="D65" s="45" t="s">
        <v>376</v>
      </c>
      <c r="E65" s="45">
        <v>12</v>
      </c>
      <c r="F65" s="45" t="s">
        <v>328</v>
      </c>
      <c r="G65" s="33">
        <v>0.331428</v>
      </c>
      <c r="H65" s="34">
        <v>39</v>
      </c>
      <c r="I65" s="35" t="s">
        <v>321</v>
      </c>
      <c r="J65" s="36">
        <v>-4.849145</v>
      </c>
      <c r="K65" s="36">
        <v>-7.4305629999999994</v>
      </c>
      <c r="L65" s="53">
        <f t="shared" si="28"/>
        <v>-189116.655</v>
      </c>
      <c r="M65" s="53">
        <f t="shared" si="29"/>
        <v>-100675.30199999997</v>
      </c>
      <c r="N65" s="53">
        <f t="shared" si="30"/>
        <v>-289791.95699999994</v>
      </c>
      <c r="O65" s="36">
        <v>2.4630190000000001</v>
      </c>
      <c r="P65" s="36">
        <v>0.203179</v>
      </c>
      <c r="Q65" s="36">
        <f t="shared" si="31"/>
        <v>2.4630190000000001</v>
      </c>
      <c r="R65" s="36">
        <f t="shared" si="32"/>
        <v>0.203179</v>
      </c>
      <c r="S65" s="36">
        <f>IF(C65&lt;&gt;"Offshore",0,IFERROR(VLOOKUP(D65,'Local Tariffs'!$A$4:$B$98,2,0),VLOOKUP(A65,'Local Tariffs'!$A$4:$B$98,2,0)))</f>
        <v>0</v>
      </c>
      <c r="T65" s="36">
        <f>IF(C65&lt;&gt;"Offshore",0,VLOOKUP(I65,'Local Tariffs'!$E$4:$F$38,2,0))</f>
        <v>0</v>
      </c>
      <c r="U65" s="53">
        <f t="shared" si="33"/>
        <v>103981.72200000001</v>
      </c>
      <c r="V65" s="53">
        <f t="shared" si="34"/>
        <v>0</v>
      </c>
      <c r="W65" s="36">
        <v>-4.7643649999999997</v>
      </c>
      <c r="X65" s="37">
        <v>-185810.24</v>
      </c>
      <c r="Y65" s="37">
        <v>0</v>
      </c>
      <c r="Z65" s="38">
        <v>-7.4305629999999994</v>
      </c>
      <c r="AA65" s="39">
        <v>-289791.96000000002</v>
      </c>
      <c r="AB65" s="40">
        <v>36.173333333333332</v>
      </c>
      <c r="AC65" s="41">
        <v>-268788.23</v>
      </c>
      <c r="AD65" s="41">
        <v>21003.73000000004</v>
      </c>
      <c r="AE65" s="58">
        <f t="shared" si="35"/>
        <v>-7.4305629999999994</v>
      </c>
      <c r="AF65" s="58">
        <f t="shared" si="36"/>
        <v>0</v>
      </c>
      <c r="AG65" s="58">
        <f t="shared" si="37"/>
        <v>0</v>
      </c>
      <c r="AH65" s="41">
        <f t="shared" si="38"/>
        <v>21003.724746666674</v>
      </c>
      <c r="AI65" s="41">
        <f t="shared" si="39"/>
        <v>0</v>
      </c>
      <c r="AJ65" s="41">
        <f t="shared" si="40"/>
        <v>0</v>
      </c>
      <c r="AK65" s="42">
        <v>0</v>
      </c>
      <c r="AL65" s="41">
        <v>21003.73000000004</v>
      </c>
      <c r="AM65" s="41">
        <v>-185810.24</v>
      </c>
      <c r="AN65" s="64">
        <f t="shared" si="41"/>
        <v>-164806.50999999995</v>
      </c>
      <c r="AO65" s="73">
        <f t="shared" si="42"/>
        <v>13706.91653333334</v>
      </c>
      <c r="AP65" s="73">
        <f t="shared" si="43"/>
        <v>7296.8082133333346</v>
      </c>
    </row>
    <row r="66" spans="2:42" x14ac:dyDescent="0.25">
      <c r="B66" s="44" t="s">
        <v>403</v>
      </c>
      <c r="C66" s="45" t="s">
        <v>323</v>
      </c>
      <c r="D66" s="45" t="s">
        <v>403</v>
      </c>
      <c r="E66" s="45">
        <v>11</v>
      </c>
      <c r="F66" s="45" t="s">
        <v>328</v>
      </c>
      <c r="G66" s="33">
        <v>0.47355199999999997</v>
      </c>
      <c r="H66" s="34">
        <v>144</v>
      </c>
      <c r="I66" s="35" t="s">
        <v>356</v>
      </c>
      <c r="J66" s="36">
        <v>-4.849145</v>
      </c>
      <c r="K66" s="36">
        <v>6.9029170000000004</v>
      </c>
      <c r="L66" s="53">
        <f t="shared" si="28"/>
        <v>-698276.88</v>
      </c>
      <c r="M66" s="53">
        <f t="shared" si="29"/>
        <v>1692296.9280000001</v>
      </c>
      <c r="N66" s="53">
        <f t="shared" si="30"/>
        <v>994020.04800000007</v>
      </c>
      <c r="O66" s="36">
        <v>0.43870100000000001</v>
      </c>
      <c r="P66" s="36">
        <v>0.201402</v>
      </c>
      <c r="Q66" s="36">
        <f t="shared" si="31"/>
        <v>0.43870100000000001</v>
      </c>
      <c r="R66" s="36">
        <f t="shared" si="32"/>
        <v>0.201402</v>
      </c>
      <c r="S66" s="36">
        <f>IF(C66&lt;&gt;"Offshore",0,IFERROR(VLOOKUP(D66,'Local Tariffs'!$A$4:$B$98,2,0),VLOOKUP(A66,'Local Tariffs'!$A$4:$B$98,2,0)))</f>
        <v>0</v>
      </c>
      <c r="T66" s="36">
        <f>IF(C66&lt;&gt;"Offshore",0,VLOOKUP(I66,'Local Tariffs'!$E$4:$F$38,2,0))</f>
        <v>0</v>
      </c>
      <c r="U66" s="53">
        <f t="shared" si="33"/>
        <v>92174.831999999995</v>
      </c>
      <c r="V66" s="53">
        <f t="shared" si="34"/>
        <v>0</v>
      </c>
      <c r="W66" s="36">
        <v>7.5430200000000003</v>
      </c>
      <c r="X66" s="37">
        <v>1086194.8799999999</v>
      </c>
      <c r="Y66" s="37">
        <v>2.9999999795109034E-2</v>
      </c>
      <c r="Z66" s="38">
        <v>0</v>
      </c>
      <c r="AA66" s="39">
        <v>0</v>
      </c>
      <c r="AB66" s="40">
        <v>0</v>
      </c>
      <c r="AC66" s="41">
        <v>0</v>
      </c>
      <c r="AD66" s="41">
        <v>0</v>
      </c>
      <c r="AE66" s="58">
        <f t="shared" si="35"/>
        <v>0</v>
      </c>
      <c r="AF66" s="58">
        <f t="shared" si="36"/>
        <v>0</v>
      </c>
      <c r="AG66" s="58">
        <f t="shared" si="37"/>
        <v>0</v>
      </c>
      <c r="AH66" s="41">
        <f t="shared" si="38"/>
        <v>0</v>
      </c>
      <c r="AI66" s="41">
        <f t="shared" si="39"/>
        <v>0</v>
      </c>
      <c r="AJ66" s="41">
        <f t="shared" si="40"/>
        <v>0</v>
      </c>
      <c r="AK66" s="42">
        <v>0</v>
      </c>
      <c r="AL66" s="41">
        <v>2.9999999795109034E-2</v>
      </c>
      <c r="AM66" s="41">
        <v>1086194.8500000001</v>
      </c>
      <c r="AN66" s="64">
        <f t="shared" si="41"/>
        <v>1086194.8799999999</v>
      </c>
      <c r="AO66" s="73">
        <f t="shared" si="42"/>
        <v>0</v>
      </c>
      <c r="AP66" s="73">
        <f t="shared" si="43"/>
        <v>0</v>
      </c>
    </row>
    <row r="67" spans="2:42" x14ac:dyDescent="0.25">
      <c r="B67" s="44" t="s">
        <v>404</v>
      </c>
      <c r="C67" s="45" t="s">
        <v>323</v>
      </c>
      <c r="D67" s="45" t="s">
        <v>405</v>
      </c>
      <c r="E67" s="45">
        <v>1</v>
      </c>
      <c r="F67" s="45" t="s">
        <v>328</v>
      </c>
      <c r="G67" s="33">
        <v>0.38815</v>
      </c>
      <c r="H67" s="34">
        <v>92</v>
      </c>
      <c r="I67" s="35" t="s">
        <v>321</v>
      </c>
      <c r="J67" s="36">
        <v>-4.849145</v>
      </c>
      <c r="K67" s="36">
        <v>6.7222890000000017</v>
      </c>
      <c r="L67" s="53">
        <f t="shared" si="28"/>
        <v>-446121.34</v>
      </c>
      <c r="M67" s="53">
        <f t="shared" si="29"/>
        <v>1064571.9280000001</v>
      </c>
      <c r="N67" s="53">
        <f t="shared" si="30"/>
        <v>618450.58799999999</v>
      </c>
      <c r="O67" s="36">
        <v>3.6081240000000001</v>
      </c>
      <c r="P67" s="36">
        <v>0.203179</v>
      </c>
      <c r="Q67" s="36">
        <f t="shared" si="31"/>
        <v>3.6081240000000001</v>
      </c>
      <c r="R67" s="36">
        <f t="shared" si="32"/>
        <v>0.203179</v>
      </c>
      <c r="S67" s="36">
        <f>IF(C67&lt;&gt;"Offshore",0,IFERROR(VLOOKUP(D67,'Local Tariffs'!$A$4:$B$98,2,0),VLOOKUP(A67,'Local Tariffs'!$A$4:$B$98,2,0)))</f>
        <v>0</v>
      </c>
      <c r="T67" s="36">
        <f>IF(C67&lt;&gt;"Offshore",0,VLOOKUP(I67,'Local Tariffs'!$E$4:$F$38,2,0))</f>
        <v>0</v>
      </c>
      <c r="U67" s="53">
        <f t="shared" si="33"/>
        <v>350639.87599999999</v>
      </c>
      <c r="V67" s="53">
        <f t="shared" si="34"/>
        <v>0</v>
      </c>
      <c r="W67" s="36">
        <v>10.533592000000002</v>
      </c>
      <c r="X67" s="37">
        <v>969090.46</v>
      </c>
      <c r="Y67" s="37">
        <v>-1.0000000125728548E-2</v>
      </c>
      <c r="Z67" s="38">
        <v>0</v>
      </c>
      <c r="AA67" s="39">
        <v>0</v>
      </c>
      <c r="AB67" s="40">
        <v>0</v>
      </c>
      <c r="AC67" s="41">
        <v>0</v>
      </c>
      <c r="AD67" s="41">
        <v>0</v>
      </c>
      <c r="AE67" s="58">
        <f t="shared" si="35"/>
        <v>0</v>
      </c>
      <c r="AF67" s="58">
        <f t="shared" si="36"/>
        <v>0</v>
      </c>
      <c r="AG67" s="58">
        <f t="shared" si="37"/>
        <v>0</v>
      </c>
      <c r="AH67" s="41">
        <f t="shared" si="38"/>
        <v>0</v>
      </c>
      <c r="AI67" s="41">
        <f t="shared" si="39"/>
        <v>0</v>
      </c>
      <c r="AJ67" s="41">
        <f t="shared" si="40"/>
        <v>0</v>
      </c>
      <c r="AK67" s="42">
        <v>0</v>
      </c>
      <c r="AL67" s="41">
        <v>-1.0000000125728548E-2</v>
      </c>
      <c r="AM67" s="41">
        <v>969090.47000000009</v>
      </c>
      <c r="AN67" s="64">
        <f t="shared" si="41"/>
        <v>969090.46</v>
      </c>
      <c r="AO67" s="73">
        <f t="shared" si="42"/>
        <v>0</v>
      </c>
      <c r="AP67" s="73">
        <f t="shared" si="43"/>
        <v>0</v>
      </c>
    </row>
    <row r="68" spans="2:42" x14ac:dyDescent="0.25">
      <c r="B68" s="44" t="s">
        <v>406</v>
      </c>
      <c r="C68" s="45" t="s">
        <v>323</v>
      </c>
      <c r="D68" s="45" t="s">
        <v>324</v>
      </c>
      <c r="E68" s="45">
        <v>3</v>
      </c>
      <c r="F68" s="45" t="s">
        <v>333</v>
      </c>
      <c r="G68" s="33">
        <v>0.44993300000000003</v>
      </c>
      <c r="H68" s="34">
        <v>46</v>
      </c>
      <c r="I68" s="35" t="s">
        <v>321</v>
      </c>
      <c r="J68" s="36">
        <v>-4.849145</v>
      </c>
      <c r="K68" s="36">
        <v>9.3191460000000017</v>
      </c>
      <c r="L68" s="53">
        <f t="shared" si="28"/>
        <v>-223060.67</v>
      </c>
      <c r="M68" s="53">
        <f t="shared" si="29"/>
        <v>651741.38600000006</v>
      </c>
      <c r="N68" s="53">
        <f t="shared" si="30"/>
        <v>428680.71600000001</v>
      </c>
      <c r="O68" s="36">
        <v>0</v>
      </c>
      <c r="P68" s="36">
        <v>0.203179</v>
      </c>
      <c r="Q68" s="36">
        <f t="shared" si="31"/>
        <v>0</v>
      </c>
      <c r="R68" s="36">
        <f t="shared" si="32"/>
        <v>0.203179</v>
      </c>
      <c r="S68" s="36">
        <f>IF(C68&lt;&gt;"Offshore",0,IFERROR(VLOOKUP(D68,'Local Tariffs'!$A$4:$B$98,2,0),VLOOKUP(A68,'Local Tariffs'!$A$4:$B$98,2,0)))</f>
        <v>0</v>
      </c>
      <c r="T68" s="36">
        <f>IF(C68&lt;&gt;"Offshore",0,VLOOKUP(I68,'Local Tariffs'!$E$4:$F$38,2,0))</f>
        <v>0</v>
      </c>
      <c r="U68" s="53">
        <f t="shared" si="33"/>
        <v>9346.2339999999986</v>
      </c>
      <c r="V68" s="53">
        <f t="shared" si="34"/>
        <v>0</v>
      </c>
      <c r="W68" s="36">
        <v>9.5223250000000021</v>
      </c>
      <c r="X68" s="37">
        <v>438026.95</v>
      </c>
      <c r="Y68" s="37">
        <v>0</v>
      </c>
      <c r="Z68" s="38">
        <v>0</v>
      </c>
      <c r="AA68" s="39">
        <v>0</v>
      </c>
      <c r="AB68" s="40">
        <v>0</v>
      </c>
      <c r="AC68" s="41">
        <v>0</v>
      </c>
      <c r="AD68" s="41">
        <v>0</v>
      </c>
      <c r="AE68" s="58">
        <f t="shared" si="35"/>
        <v>0</v>
      </c>
      <c r="AF68" s="58">
        <f t="shared" si="36"/>
        <v>0</v>
      </c>
      <c r="AG68" s="58">
        <f t="shared" si="37"/>
        <v>0</v>
      </c>
      <c r="AH68" s="41">
        <f t="shared" si="38"/>
        <v>0</v>
      </c>
      <c r="AI68" s="41">
        <f t="shared" si="39"/>
        <v>0</v>
      </c>
      <c r="AJ68" s="41">
        <f t="shared" si="40"/>
        <v>0</v>
      </c>
      <c r="AK68" s="42">
        <v>0</v>
      </c>
      <c r="AL68" s="41">
        <v>0</v>
      </c>
      <c r="AM68" s="41">
        <v>438026.94999999995</v>
      </c>
      <c r="AN68" s="64">
        <f t="shared" si="41"/>
        <v>438026.94999999995</v>
      </c>
      <c r="AO68" s="73">
        <f t="shared" si="42"/>
        <v>0</v>
      </c>
      <c r="AP68" s="73">
        <f t="shared" si="43"/>
        <v>0</v>
      </c>
    </row>
    <row r="69" spans="2:42" x14ac:dyDescent="0.25">
      <c r="B69" s="44" t="s">
        <v>407</v>
      </c>
      <c r="C69" s="45" t="s">
        <v>2</v>
      </c>
      <c r="D69" s="45" t="s">
        <v>324</v>
      </c>
      <c r="E69" s="45">
        <v>26</v>
      </c>
      <c r="F69" s="45" t="s">
        <v>340</v>
      </c>
      <c r="G69" s="33">
        <v>0.68113000000000001</v>
      </c>
      <c r="H69" s="34">
        <v>158</v>
      </c>
      <c r="I69" s="35" t="s">
        <v>364</v>
      </c>
      <c r="J69" s="36">
        <v>-4.849145</v>
      </c>
      <c r="K69" s="36">
        <v>-8.8366150000000001</v>
      </c>
      <c r="L69" s="53">
        <f t="shared" si="28"/>
        <v>-766164.90999999992</v>
      </c>
      <c r="M69" s="53">
        <f t="shared" si="29"/>
        <v>-630020.26</v>
      </c>
      <c r="N69" s="53">
        <f t="shared" si="30"/>
        <v>-1396185.17</v>
      </c>
      <c r="O69" s="36">
        <v>0</v>
      </c>
      <c r="P69" s="36">
        <v>0</v>
      </c>
      <c r="Q69" s="36">
        <f t="shared" si="31"/>
        <v>0</v>
      </c>
      <c r="R69" s="36">
        <f t="shared" si="32"/>
        <v>0</v>
      </c>
      <c r="S69" s="36">
        <f>IF(C69&lt;&gt;"Offshore",0,IFERROR(VLOOKUP(D69,'Local Tariffs'!$A$4:$B$98,2,0),VLOOKUP(A69,'Local Tariffs'!$A$4:$B$98,2,0)))</f>
        <v>0</v>
      </c>
      <c r="T69" s="36">
        <f>IF(C69&lt;&gt;"Offshore",0,VLOOKUP(I69,'Local Tariffs'!$E$4:$F$38,2,0))</f>
        <v>0</v>
      </c>
      <c r="U69" s="53">
        <f t="shared" si="33"/>
        <v>0</v>
      </c>
      <c r="V69" s="53">
        <f t="shared" si="34"/>
        <v>0</v>
      </c>
      <c r="W69" s="36">
        <v>-8.8366150000000001</v>
      </c>
      <c r="X69" s="37">
        <v>-1396185.17</v>
      </c>
      <c r="Y69" s="37">
        <v>1.0000000009313226E-2</v>
      </c>
      <c r="Z69" s="38">
        <v>-8.8366150000000001</v>
      </c>
      <c r="AA69" s="39">
        <v>-1396185.17</v>
      </c>
      <c r="AB69" s="40">
        <v>57.218666666666671</v>
      </c>
      <c r="AC69" s="41">
        <v>-505619.33</v>
      </c>
      <c r="AD69" s="41">
        <v>890565.83999999985</v>
      </c>
      <c r="AE69" s="58">
        <f t="shared" si="35"/>
        <v>-8.8366150000000001</v>
      </c>
      <c r="AF69" s="58">
        <f t="shared" si="36"/>
        <v>0</v>
      </c>
      <c r="AG69" s="58">
        <f t="shared" si="37"/>
        <v>0</v>
      </c>
      <c r="AH69" s="41">
        <f t="shared" si="38"/>
        <v>890565.84185333329</v>
      </c>
      <c r="AI69" s="41">
        <f t="shared" si="39"/>
        <v>0</v>
      </c>
      <c r="AJ69" s="41">
        <f t="shared" si="40"/>
        <v>0</v>
      </c>
      <c r="AK69" s="42">
        <v>0</v>
      </c>
      <c r="AL69" s="41">
        <v>890565.84999999986</v>
      </c>
      <c r="AM69" s="41">
        <v>-1396185.18</v>
      </c>
      <c r="AN69" s="64">
        <f t="shared" si="41"/>
        <v>-505619.33000000007</v>
      </c>
      <c r="AO69" s="73">
        <f t="shared" si="42"/>
        <v>488703.2986266666</v>
      </c>
      <c r="AP69" s="73">
        <f t="shared" si="43"/>
        <v>401862.54322666663</v>
      </c>
    </row>
    <row r="70" spans="2:42" x14ac:dyDescent="0.25">
      <c r="B70" s="44" t="s">
        <v>408</v>
      </c>
      <c r="C70" s="45" t="s">
        <v>323</v>
      </c>
      <c r="D70" s="45" t="s">
        <v>408</v>
      </c>
      <c r="E70" s="45">
        <v>16</v>
      </c>
      <c r="F70" s="45" t="s">
        <v>374</v>
      </c>
      <c r="G70" s="33">
        <v>3.9827000000000001E-2</v>
      </c>
      <c r="H70" s="34">
        <v>360</v>
      </c>
      <c r="I70" s="35" t="s">
        <v>359</v>
      </c>
      <c r="J70" s="36">
        <v>-4.849145</v>
      </c>
      <c r="K70" s="36">
        <v>-1.470046</v>
      </c>
      <c r="L70" s="53">
        <f t="shared" si="28"/>
        <v>-1745692.2</v>
      </c>
      <c r="M70" s="53">
        <f t="shared" si="29"/>
        <v>1216475.6400000001</v>
      </c>
      <c r="N70" s="53">
        <f t="shared" si="30"/>
        <v>-529216.55999999982</v>
      </c>
      <c r="O70" s="36">
        <v>0.25602900000000001</v>
      </c>
      <c r="P70" s="36">
        <v>0.116232</v>
      </c>
      <c r="Q70" s="36">
        <f t="shared" si="31"/>
        <v>0.25602900000000001</v>
      </c>
      <c r="R70" s="36">
        <f t="shared" si="32"/>
        <v>0.116232</v>
      </c>
      <c r="S70" s="36">
        <f>IF(C70&lt;&gt;"Offshore",0,IFERROR(VLOOKUP(D70,'Local Tariffs'!$A$4:$B$98,2,0),VLOOKUP(A70,'Local Tariffs'!$A$4:$B$98,2,0)))</f>
        <v>0</v>
      </c>
      <c r="T70" s="36">
        <f>IF(C70&lt;&gt;"Offshore",0,VLOOKUP(I70,'Local Tariffs'!$E$4:$F$38,2,0))</f>
        <v>0</v>
      </c>
      <c r="U70" s="53">
        <f t="shared" si="33"/>
        <v>134013.96</v>
      </c>
      <c r="V70" s="53">
        <f t="shared" si="34"/>
        <v>0</v>
      </c>
      <c r="W70" s="36">
        <v>-1.097785</v>
      </c>
      <c r="X70" s="37">
        <v>-395202.6</v>
      </c>
      <c r="Y70" s="37">
        <v>0.14000000001396984</v>
      </c>
      <c r="Z70" s="38">
        <v>-1.470046</v>
      </c>
      <c r="AA70" s="39">
        <v>-529216.56000000006</v>
      </c>
      <c r="AB70" s="40">
        <v>178.434</v>
      </c>
      <c r="AC70" s="41">
        <v>-262306.19</v>
      </c>
      <c r="AD70" s="41">
        <v>266910.37000000005</v>
      </c>
      <c r="AE70" s="58">
        <f t="shared" si="35"/>
        <v>-1.470046</v>
      </c>
      <c r="AF70" s="58">
        <f t="shared" si="36"/>
        <v>0</v>
      </c>
      <c r="AG70" s="58">
        <f t="shared" si="37"/>
        <v>0</v>
      </c>
      <c r="AH70" s="41">
        <f t="shared" si="38"/>
        <v>266910.37203600002</v>
      </c>
      <c r="AI70" s="41">
        <f t="shared" si="39"/>
        <v>0</v>
      </c>
      <c r="AJ70" s="41">
        <f t="shared" si="40"/>
        <v>0</v>
      </c>
      <c r="AK70" s="42">
        <v>0</v>
      </c>
      <c r="AL70" s="41">
        <v>266910.51000000007</v>
      </c>
      <c r="AM70" s="41">
        <v>-395202.74</v>
      </c>
      <c r="AN70" s="64">
        <f t="shared" si="41"/>
        <v>-128292.22999999992</v>
      </c>
      <c r="AO70" s="73">
        <f t="shared" si="42"/>
        <v>266910.37203600002</v>
      </c>
      <c r="AP70" s="73">
        <f t="shared" si="43"/>
        <v>0</v>
      </c>
    </row>
    <row r="71" spans="2:42" x14ac:dyDescent="0.25">
      <c r="B71" s="44" t="s">
        <v>409</v>
      </c>
      <c r="C71" s="45" t="s">
        <v>323</v>
      </c>
      <c r="D71" s="45" t="s">
        <v>324</v>
      </c>
      <c r="E71" s="45">
        <v>15</v>
      </c>
      <c r="F71" s="45" t="s">
        <v>325</v>
      </c>
      <c r="G71" s="33">
        <v>0.165659</v>
      </c>
      <c r="H71" s="34">
        <v>0</v>
      </c>
      <c r="I71" s="35" t="s">
        <v>326</v>
      </c>
      <c r="J71" s="36">
        <v>-4.849145</v>
      </c>
      <c r="K71" s="36">
        <v>4.1482617975000302E-2</v>
      </c>
      <c r="L71" s="53">
        <f t="shared" si="28"/>
        <v>0</v>
      </c>
      <c r="M71" s="53">
        <f t="shared" si="29"/>
        <v>0</v>
      </c>
      <c r="N71" s="53">
        <f t="shared" si="30"/>
        <v>0</v>
      </c>
      <c r="O71" s="36">
        <v>0</v>
      </c>
      <c r="P71" s="36">
        <v>0.27692499999999998</v>
      </c>
      <c r="Q71" s="36">
        <f t="shared" si="31"/>
        <v>0</v>
      </c>
      <c r="R71" s="36">
        <f t="shared" si="32"/>
        <v>0.27692499999999998</v>
      </c>
      <c r="S71" s="36">
        <f>IF(C71&lt;&gt;"Offshore",0,IFERROR(VLOOKUP(D71,'Local Tariffs'!$A$4:$B$98,2,0),VLOOKUP(A71,'Local Tariffs'!$A$4:$B$98,2,0)))</f>
        <v>0</v>
      </c>
      <c r="T71" s="36">
        <f>IF(C71&lt;&gt;"Offshore",0,VLOOKUP(I71,'Local Tariffs'!$E$4:$F$38,2,0))</f>
        <v>0</v>
      </c>
      <c r="U71" s="53">
        <f t="shared" si="33"/>
        <v>0</v>
      </c>
      <c r="V71" s="53">
        <f t="shared" si="34"/>
        <v>0</v>
      </c>
      <c r="W71" s="36">
        <v>0.31840761797500028</v>
      </c>
      <c r="X71" s="37">
        <v>0</v>
      </c>
      <c r="Y71" s="37">
        <v>0</v>
      </c>
      <c r="Z71" s="38">
        <v>0</v>
      </c>
      <c r="AA71" s="39">
        <v>0</v>
      </c>
      <c r="AB71" s="40">
        <v>0</v>
      </c>
      <c r="AC71" s="41">
        <v>0</v>
      </c>
      <c r="AD71" s="41">
        <v>0</v>
      </c>
      <c r="AE71" s="58">
        <f t="shared" si="35"/>
        <v>0</v>
      </c>
      <c r="AF71" s="58">
        <f t="shared" si="36"/>
        <v>0</v>
      </c>
      <c r="AG71" s="58">
        <f t="shared" si="37"/>
        <v>0</v>
      </c>
      <c r="AH71" s="41">
        <f t="shared" si="38"/>
        <v>0</v>
      </c>
      <c r="AI71" s="41">
        <f t="shared" si="39"/>
        <v>0</v>
      </c>
      <c r="AJ71" s="41">
        <f t="shared" si="40"/>
        <v>0</v>
      </c>
      <c r="AK71" s="42">
        <v>107330.07</v>
      </c>
      <c r="AL71" s="41">
        <v>107330.07</v>
      </c>
      <c r="AM71" s="41">
        <v>0</v>
      </c>
      <c r="AN71" s="64">
        <f t="shared" si="41"/>
        <v>107330.07</v>
      </c>
      <c r="AO71" s="73">
        <f t="shared" si="42"/>
        <v>0</v>
      </c>
      <c r="AP71" s="73">
        <f t="shared" si="43"/>
        <v>0</v>
      </c>
    </row>
    <row r="72" spans="2:42" x14ac:dyDescent="0.25">
      <c r="B72" s="44" t="s">
        <v>410</v>
      </c>
      <c r="C72" s="45" t="s">
        <v>323</v>
      </c>
      <c r="D72" s="45" t="s">
        <v>410</v>
      </c>
      <c r="E72" s="45">
        <v>6</v>
      </c>
      <c r="F72" s="45" t="s">
        <v>333</v>
      </c>
      <c r="G72" s="33">
        <v>0.58729799999999999</v>
      </c>
      <c r="H72" s="34">
        <v>16.5</v>
      </c>
      <c r="I72" s="35" t="s">
        <v>321</v>
      </c>
      <c r="J72" s="36">
        <v>-4.849145</v>
      </c>
      <c r="K72" s="36">
        <v>11.250570000000002</v>
      </c>
      <c r="L72" s="53">
        <f t="shared" si="28"/>
        <v>-80010.892500000002</v>
      </c>
      <c r="M72" s="53">
        <f t="shared" si="29"/>
        <v>265645.2975000001</v>
      </c>
      <c r="N72" s="53">
        <f t="shared" si="30"/>
        <v>185634.40500000009</v>
      </c>
      <c r="O72" s="36">
        <v>0.32403500000000002</v>
      </c>
      <c r="P72" s="36">
        <v>0.203179</v>
      </c>
      <c r="Q72" s="36">
        <f t="shared" si="31"/>
        <v>0.32403500000000002</v>
      </c>
      <c r="R72" s="36">
        <f t="shared" si="32"/>
        <v>0.203179</v>
      </c>
      <c r="S72" s="36">
        <f>IF(C72&lt;&gt;"Offshore",0,IFERROR(VLOOKUP(D72,'Local Tariffs'!$A$4:$B$98,2,0),VLOOKUP(A72,'Local Tariffs'!$A$4:$B$98,2,0)))</f>
        <v>0</v>
      </c>
      <c r="T72" s="36">
        <f>IF(C72&lt;&gt;"Offshore",0,VLOOKUP(I72,'Local Tariffs'!$E$4:$F$38,2,0))</f>
        <v>0</v>
      </c>
      <c r="U72" s="53">
        <f t="shared" si="33"/>
        <v>8699.0310000000009</v>
      </c>
      <c r="V72" s="53">
        <f t="shared" si="34"/>
        <v>0</v>
      </c>
      <c r="W72" s="36">
        <v>11.777784000000002</v>
      </c>
      <c r="X72" s="37">
        <v>194333.44</v>
      </c>
      <c r="Y72" s="37">
        <v>0</v>
      </c>
      <c r="Z72" s="38">
        <v>0</v>
      </c>
      <c r="AA72" s="39">
        <v>0</v>
      </c>
      <c r="AB72" s="40">
        <v>0</v>
      </c>
      <c r="AC72" s="41">
        <v>0</v>
      </c>
      <c r="AD72" s="41">
        <v>0</v>
      </c>
      <c r="AE72" s="58">
        <f t="shared" si="35"/>
        <v>0</v>
      </c>
      <c r="AF72" s="58">
        <f t="shared" si="36"/>
        <v>0</v>
      </c>
      <c r="AG72" s="58">
        <f t="shared" si="37"/>
        <v>0</v>
      </c>
      <c r="AH72" s="41">
        <f t="shared" si="38"/>
        <v>0</v>
      </c>
      <c r="AI72" s="41">
        <f t="shared" si="39"/>
        <v>0</v>
      </c>
      <c r="AJ72" s="41">
        <f t="shared" si="40"/>
        <v>0</v>
      </c>
      <c r="AK72" s="42">
        <v>0</v>
      </c>
      <c r="AL72" s="41">
        <v>0</v>
      </c>
      <c r="AM72" s="41">
        <v>194333.44000000003</v>
      </c>
      <c r="AN72" s="64">
        <f t="shared" si="41"/>
        <v>194333.44000000003</v>
      </c>
      <c r="AO72" s="73">
        <f t="shared" si="42"/>
        <v>0</v>
      </c>
      <c r="AP72" s="73">
        <f t="shared" si="43"/>
        <v>0</v>
      </c>
    </row>
    <row r="73" spans="2:42" x14ac:dyDescent="0.25">
      <c r="B73" s="44" t="s">
        <v>411</v>
      </c>
      <c r="C73" s="45" t="s">
        <v>323</v>
      </c>
      <c r="D73" s="45" t="s">
        <v>411</v>
      </c>
      <c r="E73" s="45">
        <v>1</v>
      </c>
      <c r="F73" s="45" t="s">
        <v>374</v>
      </c>
      <c r="G73" s="33">
        <v>0.13922000000000001</v>
      </c>
      <c r="H73" s="34">
        <v>300</v>
      </c>
      <c r="I73" s="35" t="s">
        <v>359</v>
      </c>
      <c r="J73" s="36">
        <v>-4.849145</v>
      </c>
      <c r="K73" s="36">
        <v>2.9038097674200003</v>
      </c>
      <c r="L73" s="53">
        <f t="shared" si="28"/>
        <v>-1454743.5</v>
      </c>
      <c r="M73" s="53">
        <f t="shared" si="29"/>
        <v>2325886.430226</v>
      </c>
      <c r="N73" s="53">
        <f t="shared" si="30"/>
        <v>871142.93022600003</v>
      </c>
      <c r="O73" s="36">
        <v>0.29642600000000002</v>
      </c>
      <c r="P73" s="36">
        <v>0.116232</v>
      </c>
      <c r="Q73" s="36">
        <f t="shared" si="31"/>
        <v>0.29642600000000002</v>
      </c>
      <c r="R73" s="36">
        <f t="shared" si="32"/>
        <v>0.116232</v>
      </c>
      <c r="S73" s="36">
        <f>IF(C73&lt;&gt;"Offshore",0,IFERROR(VLOOKUP(D73,'Local Tariffs'!$A$4:$B$98,2,0),VLOOKUP(A73,'Local Tariffs'!$A$4:$B$98,2,0)))</f>
        <v>0</v>
      </c>
      <c r="T73" s="36">
        <f>IF(C73&lt;&gt;"Offshore",0,VLOOKUP(I73,'Local Tariffs'!$E$4:$F$38,2,0))</f>
        <v>0</v>
      </c>
      <c r="U73" s="53">
        <f t="shared" si="33"/>
        <v>123797.40000000001</v>
      </c>
      <c r="V73" s="53">
        <f t="shared" si="34"/>
        <v>0</v>
      </c>
      <c r="W73" s="36">
        <v>3.3164677674200003</v>
      </c>
      <c r="X73" s="37">
        <v>994940.33</v>
      </c>
      <c r="Y73" s="37">
        <v>8.0000000190921128E-2</v>
      </c>
      <c r="Z73" s="38">
        <v>0</v>
      </c>
      <c r="AA73" s="39">
        <v>0</v>
      </c>
      <c r="AB73" s="40">
        <v>0</v>
      </c>
      <c r="AC73" s="41">
        <v>0</v>
      </c>
      <c r="AD73" s="41">
        <v>0</v>
      </c>
      <c r="AE73" s="58">
        <f t="shared" si="35"/>
        <v>0</v>
      </c>
      <c r="AF73" s="58">
        <f t="shared" si="36"/>
        <v>0</v>
      </c>
      <c r="AG73" s="58">
        <f t="shared" si="37"/>
        <v>0</v>
      </c>
      <c r="AH73" s="41">
        <f t="shared" si="38"/>
        <v>0</v>
      </c>
      <c r="AI73" s="41">
        <f t="shared" si="39"/>
        <v>0</v>
      </c>
      <c r="AJ73" s="41">
        <f t="shared" si="40"/>
        <v>0</v>
      </c>
      <c r="AK73" s="42">
        <v>0</v>
      </c>
      <c r="AL73" s="41">
        <v>8.0000000190921128E-2</v>
      </c>
      <c r="AM73" s="41">
        <v>994940.24999999977</v>
      </c>
      <c r="AN73" s="64">
        <f t="shared" si="41"/>
        <v>994940.33</v>
      </c>
      <c r="AO73" s="73">
        <f t="shared" si="42"/>
        <v>0</v>
      </c>
      <c r="AP73" s="73">
        <f t="shared" si="43"/>
        <v>0</v>
      </c>
    </row>
    <row r="74" spans="2:42" x14ac:dyDescent="0.25">
      <c r="B74" s="44" t="s">
        <v>412</v>
      </c>
      <c r="C74" s="45" t="s">
        <v>323</v>
      </c>
      <c r="D74" s="45" t="s">
        <v>324</v>
      </c>
      <c r="E74" s="45">
        <v>7</v>
      </c>
      <c r="F74" s="45" t="s">
        <v>328</v>
      </c>
      <c r="G74" s="33">
        <v>0.373305</v>
      </c>
      <c r="H74" s="34">
        <v>22.2</v>
      </c>
      <c r="I74" s="35" t="s">
        <v>321</v>
      </c>
      <c r="J74" s="36">
        <v>-4.849145</v>
      </c>
      <c r="K74" s="36">
        <v>12.769686999999999</v>
      </c>
      <c r="L74" s="53">
        <f t="shared" si="28"/>
        <v>-107651.01899999999</v>
      </c>
      <c r="M74" s="53">
        <f t="shared" si="29"/>
        <v>391138.07039999997</v>
      </c>
      <c r="N74" s="53">
        <f t="shared" si="30"/>
        <v>283487.0514</v>
      </c>
      <c r="O74" s="36">
        <v>0</v>
      </c>
      <c r="P74" s="36">
        <v>0.203179</v>
      </c>
      <c r="Q74" s="36">
        <f t="shared" si="31"/>
        <v>0</v>
      </c>
      <c r="R74" s="36">
        <f t="shared" si="32"/>
        <v>0.203179</v>
      </c>
      <c r="S74" s="36">
        <f>IF(C74&lt;&gt;"Offshore",0,IFERROR(VLOOKUP(D74,'Local Tariffs'!$A$4:$B$98,2,0),VLOOKUP(A74,'Local Tariffs'!$A$4:$B$98,2,0)))</f>
        <v>0</v>
      </c>
      <c r="T74" s="36">
        <f>IF(C74&lt;&gt;"Offshore",0,VLOOKUP(I74,'Local Tariffs'!$E$4:$F$38,2,0))</f>
        <v>0</v>
      </c>
      <c r="U74" s="53">
        <f t="shared" si="33"/>
        <v>4510.5737999999992</v>
      </c>
      <c r="V74" s="53">
        <f t="shared" si="34"/>
        <v>0</v>
      </c>
      <c r="W74" s="36">
        <v>12.972866</v>
      </c>
      <c r="X74" s="37">
        <v>287997.63</v>
      </c>
      <c r="Y74" s="37">
        <v>0</v>
      </c>
      <c r="Z74" s="38">
        <v>0</v>
      </c>
      <c r="AA74" s="39">
        <v>0</v>
      </c>
      <c r="AB74" s="40">
        <v>0</v>
      </c>
      <c r="AC74" s="41">
        <v>0</v>
      </c>
      <c r="AD74" s="41">
        <v>0</v>
      </c>
      <c r="AE74" s="58">
        <f t="shared" si="35"/>
        <v>0</v>
      </c>
      <c r="AF74" s="58">
        <f t="shared" si="36"/>
        <v>0</v>
      </c>
      <c r="AG74" s="58">
        <f t="shared" si="37"/>
        <v>0</v>
      </c>
      <c r="AH74" s="41">
        <f t="shared" si="38"/>
        <v>0</v>
      </c>
      <c r="AI74" s="41">
        <f t="shared" si="39"/>
        <v>0</v>
      </c>
      <c r="AJ74" s="41">
        <f t="shared" si="40"/>
        <v>0</v>
      </c>
      <c r="AK74" s="42">
        <v>0</v>
      </c>
      <c r="AL74" s="41">
        <v>0</v>
      </c>
      <c r="AM74" s="41">
        <v>287997.62999999995</v>
      </c>
      <c r="AN74" s="64">
        <f t="shared" si="41"/>
        <v>287997.62999999995</v>
      </c>
      <c r="AO74" s="73">
        <f t="shared" si="42"/>
        <v>0</v>
      </c>
      <c r="AP74" s="73">
        <f t="shared" si="43"/>
        <v>0</v>
      </c>
    </row>
    <row r="75" spans="2:42" x14ac:dyDescent="0.25">
      <c r="B75" s="44" t="s">
        <v>413</v>
      </c>
      <c r="C75" s="45" t="s">
        <v>323</v>
      </c>
      <c r="D75" s="45" t="s">
        <v>413</v>
      </c>
      <c r="E75" s="45">
        <v>11</v>
      </c>
      <c r="F75" s="45" t="s">
        <v>328</v>
      </c>
      <c r="G75" s="33">
        <v>0.41622100000000001</v>
      </c>
      <c r="H75" s="34">
        <v>55.2</v>
      </c>
      <c r="I75" s="35" t="s">
        <v>321</v>
      </c>
      <c r="J75" s="36">
        <v>-4.849145</v>
      </c>
      <c r="K75" s="36">
        <v>-5.3352239999999984</v>
      </c>
      <c r="L75" s="53">
        <f t="shared" ref="L75:L138" si="44">$H75*J75*1000</f>
        <v>-267672.80400000006</v>
      </c>
      <c r="M75" s="53">
        <f t="shared" ref="M75:M138" si="45">$H75*(K75-J75)*1000</f>
        <v>-26831.560799999912</v>
      </c>
      <c r="N75" s="53">
        <f t="shared" ref="N75:N138" si="46">L75+M75</f>
        <v>-294504.36479999998</v>
      </c>
      <c r="O75" s="36">
        <v>3.5410180000000002</v>
      </c>
      <c r="P75" s="36">
        <v>0.203179</v>
      </c>
      <c r="Q75" s="36">
        <f t="shared" ref="Q75:Q138" si="47">O75-S75</f>
        <v>3.5410180000000002</v>
      </c>
      <c r="R75" s="36">
        <f t="shared" ref="R75:R138" si="48">P75-T75</f>
        <v>0.203179</v>
      </c>
      <c r="S75" s="36">
        <f>IF(C75&lt;&gt;"Offshore",0,IFERROR(VLOOKUP(D75,'Local Tariffs'!$A$4:$B$98,2,0),VLOOKUP(A75,'Local Tariffs'!$A$4:$B$98,2,0)))</f>
        <v>0</v>
      </c>
      <c r="T75" s="36">
        <f>IF(C75&lt;&gt;"Offshore",0,VLOOKUP(I75,'Local Tariffs'!$E$4:$F$38,2,0))</f>
        <v>0</v>
      </c>
      <c r="U75" s="53">
        <f t="shared" ref="U75:U138" si="49">$H75*(Q75+R75)*1000</f>
        <v>206679.67440000002</v>
      </c>
      <c r="V75" s="53">
        <f t="shared" ref="V75:V138" si="50">$H75*(S75+T75)*1000</f>
        <v>0</v>
      </c>
      <c r="W75" s="36">
        <v>-1.5910269999999982</v>
      </c>
      <c r="X75" s="37">
        <v>-87824.69</v>
      </c>
      <c r="Y75" s="37">
        <v>9.9999999947613105E-3</v>
      </c>
      <c r="Z75" s="38">
        <v>-5.3352239999999984</v>
      </c>
      <c r="AA75" s="39">
        <v>-294504.36</v>
      </c>
      <c r="AB75" s="40">
        <v>55.19</v>
      </c>
      <c r="AC75" s="41">
        <v>-294451.01</v>
      </c>
      <c r="AD75" s="41">
        <v>53.349999999976717</v>
      </c>
      <c r="AE75" s="58">
        <f t="shared" ref="AE75:AE138" si="51">IF(K75&lt;0,K75,0)</f>
        <v>-5.3352239999999984</v>
      </c>
      <c r="AF75" s="58">
        <f t="shared" ref="AF75:AF138" si="52">IF(O75&lt;0,O75,0)</f>
        <v>0</v>
      </c>
      <c r="AG75" s="58">
        <f t="shared" ref="AG75:AG138" si="53">IF(P75&lt;0,P75,0)</f>
        <v>0</v>
      </c>
      <c r="AH75" s="41">
        <f t="shared" ref="AH75:AH138" si="54">IF(AE75=0,0,(H75-AB75)*AE75*-1000)</f>
        <v>53.35224000002728</v>
      </c>
      <c r="AI75" s="41">
        <f t="shared" ref="AI75:AI138" si="55">IF(AF75=0,0,(H75-AB75)*AF75*-1000)</f>
        <v>0</v>
      </c>
      <c r="AJ75" s="41">
        <f t="shared" ref="AJ75:AJ138" si="56">IF(AG75=0,0,(H75-AB75)*AG75*-1000)</f>
        <v>0</v>
      </c>
      <c r="AK75" s="42">
        <v>0</v>
      </c>
      <c r="AL75" s="41">
        <v>53.359999999971478</v>
      </c>
      <c r="AM75" s="41">
        <v>-87824.7</v>
      </c>
      <c r="AN75" s="64">
        <f t="shared" ref="AN75:AN138" si="57">AM75+AL75</f>
        <v>-87771.340000000026</v>
      </c>
      <c r="AO75" s="73">
        <f t="shared" ref="AO75:AO138" si="58">IF(AE75&lt;=J75,J75*(H75-AB75)*-1000,IF(AND(AE75&lt;=0,AE75&gt;J75),AE75*(H75-AB75)*-1000,0))</f>
        <v>48.491450000024805</v>
      </c>
      <c r="AP75" s="73">
        <f t="shared" ref="AP75:AP138" si="59">IF(AE75&lt;=J75,(AE75-J75)*(H75-AB75)*-1000,0)</f>
        <v>4.8607900000024706</v>
      </c>
    </row>
    <row r="76" spans="2:42" x14ac:dyDescent="0.25">
      <c r="B76" s="44" t="s">
        <v>414</v>
      </c>
      <c r="C76" s="45" t="s">
        <v>318</v>
      </c>
      <c r="D76" s="32" t="s">
        <v>414</v>
      </c>
      <c r="E76" s="45">
        <v>18</v>
      </c>
      <c r="F76" s="45" t="s">
        <v>320</v>
      </c>
      <c r="G76" s="33">
        <v>0.52294799999999997</v>
      </c>
      <c r="H76" s="34">
        <v>348</v>
      </c>
      <c r="I76" s="35" t="s">
        <v>415</v>
      </c>
      <c r="J76" s="36">
        <v>-4.849145</v>
      </c>
      <c r="K76" s="36">
        <v>-4.3088379999999997</v>
      </c>
      <c r="L76" s="53">
        <f t="shared" si="44"/>
        <v>-1687502.46</v>
      </c>
      <c r="M76" s="53">
        <f t="shared" si="45"/>
        <v>188026.83600000013</v>
      </c>
      <c r="N76" s="53">
        <f t="shared" si="46"/>
        <v>-1499475.6239999998</v>
      </c>
      <c r="O76" s="36">
        <v>24.685814000000001</v>
      </c>
      <c r="P76" s="36">
        <v>15.703602999999999</v>
      </c>
      <c r="Q76" s="36">
        <f t="shared" si="47"/>
        <v>0</v>
      </c>
      <c r="R76" s="36">
        <f t="shared" si="48"/>
        <v>0</v>
      </c>
      <c r="S76" s="36">
        <f>IF(C76&lt;&gt;"Offshore",0,IFERROR(VLOOKUP(D76,'Local Tariffs'!$A$4:$B$98,2,0),VLOOKUP(A76,'Local Tariffs'!$A$4:$B$98,2,0)))</f>
        <v>24.685814000000001</v>
      </c>
      <c r="T76" s="36">
        <f>IF(C76&lt;&gt;"Offshore",0,VLOOKUP(I76,'Local Tariffs'!$E$4:$F$38,2,0))</f>
        <v>15.703602999999999</v>
      </c>
      <c r="U76" s="53">
        <f t="shared" si="49"/>
        <v>0</v>
      </c>
      <c r="V76" s="53">
        <f t="shared" si="50"/>
        <v>14055517.116</v>
      </c>
      <c r="W76" s="36">
        <v>36.080579</v>
      </c>
      <c r="X76" s="37">
        <v>12556041.49</v>
      </c>
      <c r="Y76" s="37">
        <v>27773.009999999776</v>
      </c>
      <c r="Z76" s="38">
        <v>-4.3088379999999997</v>
      </c>
      <c r="AA76" s="39">
        <v>-1499475.62</v>
      </c>
      <c r="AB76" s="40">
        <v>344.10599999999999</v>
      </c>
      <c r="AC76" s="41">
        <v>-1482697.01</v>
      </c>
      <c r="AD76" s="41">
        <v>16778.610000000102</v>
      </c>
      <c r="AE76" s="58">
        <f t="shared" si="51"/>
        <v>-4.3088379999999997</v>
      </c>
      <c r="AF76" s="58">
        <f t="shared" si="52"/>
        <v>0</v>
      </c>
      <c r="AG76" s="58">
        <f t="shared" si="53"/>
        <v>0</v>
      </c>
      <c r="AH76" s="41">
        <f t="shared" si="54"/>
        <v>16778.615172000023</v>
      </c>
      <c r="AI76" s="41">
        <f t="shared" si="55"/>
        <v>0</v>
      </c>
      <c r="AJ76" s="41">
        <f t="shared" si="56"/>
        <v>0</v>
      </c>
      <c r="AK76" s="42">
        <v>0</v>
      </c>
      <c r="AL76" s="41">
        <v>44551.619999999879</v>
      </c>
      <c r="AM76" s="41">
        <v>12528268.48</v>
      </c>
      <c r="AN76" s="64">
        <f t="shared" si="57"/>
        <v>12572820.1</v>
      </c>
      <c r="AO76" s="73">
        <f t="shared" si="58"/>
        <v>16778.615172000023</v>
      </c>
      <c r="AP76" s="73">
        <f t="shared" si="59"/>
        <v>0</v>
      </c>
    </row>
    <row r="77" spans="2:42" x14ac:dyDescent="0.25">
      <c r="B77" s="44" t="s">
        <v>416</v>
      </c>
      <c r="C77" s="45" t="s">
        <v>323</v>
      </c>
      <c r="D77" s="45" t="s">
        <v>337</v>
      </c>
      <c r="E77" s="45">
        <v>10</v>
      </c>
      <c r="F77" s="45" t="s">
        <v>328</v>
      </c>
      <c r="G77" s="33">
        <v>0.24021200000000001</v>
      </c>
      <c r="H77" s="34">
        <v>32.200000000000003</v>
      </c>
      <c r="I77" s="35" t="s">
        <v>321</v>
      </c>
      <c r="J77" s="36">
        <v>-4.849145</v>
      </c>
      <c r="K77" s="36">
        <v>-1.8676879999999993</v>
      </c>
      <c r="L77" s="53">
        <f t="shared" si="44"/>
        <v>-156142.46900000001</v>
      </c>
      <c r="M77" s="53">
        <f t="shared" si="45"/>
        <v>96002.915400000042</v>
      </c>
      <c r="N77" s="53">
        <f t="shared" si="46"/>
        <v>-60139.55359999997</v>
      </c>
      <c r="O77" s="36">
        <v>2.101823</v>
      </c>
      <c r="P77" s="36">
        <v>0.203179</v>
      </c>
      <c r="Q77" s="36">
        <f t="shared" si="47"/>
        <v>2.101823</v>
      </c>
      <c r="R77" s="36">
        <f t="shared" si="48"/>
        <v>0.203179</v>
      </c>
      <c r="S77" s="36">
        <f>IF(C77&lt;&gt;"Offshore",0,IFERROR(VLOOKUP(D77,'Local Tariffs'!$A$4:$B$98,2,0),VLOOKUP(A77,'Local Tariffs'!$A$4:$B$98,2,0)))</f>
        <v>0</v>
      </c>
      <c r="T77" s="36">
        <f>IF(C77&lt;&gt;"Offshore",0,VLOOKUP(I77,'Local Tariffs'!$E$4:$F$38,2,0))</f>
        <v>0</v>
      </c>
      <c r="U77" s="53">
        <f t="shared" si="49"/>
        <v>74221.064400000003</v>
      </c>
      <c r="V77" s="53">
        <f t="shared" si="50"/>
        <v>0</v>
      </c>
      <c r="W77" s="36">
        <v>0.43731400000000065</v>
      </c>
      <c r="X77" s="37">
        <v>14081.51</v>
      </c>
      <c r="Y77" s="37">
        <v>1.0000000000218279E-2</v>
      </c>
      <c r="Z77" s="38">
        <v>-1.8676879999999993</v>
      </c>
      <c r="AA77" s="39">
        <v>-60139.55</v>
      </c>
      <c r="AB77" s="40">
        <v>21.943333333333332</v>
      </c>
      <c r="AC77" s="41">
        <v>-40983.300000000003</v>
      </c>
      <c r="AD77" s="41">
        <v>19156.25</v>
      </c>
      <c r="AE77" s="58">
        <f t="shared" si="51"/>
        <v>-1.8676879999999993</v>
      </c>
      <c r="AF77" s="58">
        <f t="shared" si="52"/>
        <v>0</v>
      </c>
      <c r="AG77" s="58">
        <f t="shared" si="53"/>
        <v>0</v>
      </c>
      <c r="AH77" s="41">
        <f t="shared" si="54"/>
        <v>19156.253253333336</v>
      </c>
      <c r="AI77" s="41">
        <f t="shared" si="55"/>
        <v>0</v>
      </c>
      <c r="AJ77" s="41">
        <f t="shared" si="56"/>
        <v>0</v>
      </c>
      <c r="AK77" s="42">
        <v>0</v>
      </c>
      <c r="AL77" s="41">
        <v>19156.260000000002</v>
      </c>
      <c r="AM77" s="41">
        <v>14081.5</v>
      </c>
      <c r="AN77" s="64">
        <f t="shared" si="57"/>
        <v>33237.760000000002</v>
      </c>
      <c r="AO77" s="73">
        <f t="shared" si="58"/>
        <v>19156.253253333336</v>
      </c>
      <c r="AP77" s="73">
        <f t="shared" si="59"/>
        <v>0</v>
      </c>
    </row>
    <row r="78" spans="2:42" x14ac:dyDescent="0.25">
      <c r="B78" s="44" t="s">
        <v>417</v>
      </c>
      <c r="C78" s="45" t="s">
        <v>323</v>
      </c>
      <c r="D78" s="45" t="s">
        <v>417</v>
      </c>
      <c r="E78" s="45">
        <v>3</v>
      </c>
      <c r="F78" s="45" t="s">
        <v>333</v>
      </c>
      <c r="G78" s="33">
        <v>0.29322500000000001</v>
      </c>
      <c r="H78" s="34">
        <v>99.9</v>
      </c>
      <c r="I78" s="35" t="s">
        <v>321</v>
      </c>
      <c r="J78" s="36">
        <v>-4.849145</v>
      </c>
      <c r="K78" s="36">
        <v>6.2745979999999992</v>
      </c>
      <c r="L78" s="53">
        <f t="shared" si="44"/>
        <v>-484429.58550000004</v>
      </c>
      <c r="M78" s="53">
        <f t="shared" si="45"/>
        <v>1111261.9256999998</v>
      </c>
      <c r="N78" s="53">
        <f t="shared" si="46"/>
        <v>626832.34019999974</v>
      </c>
      <c r="O78" s="36">
        <v>1.8614539999999999</v>
      </c>
      <c r="P78" s="36">
        <v>0.203179</v>
      </c>
      <c r="Q78" s="36">
        <f t="shared" si="47"/>
        <v>1.8614539999999999</v>
      </c>
      <c r="R78" s="36">
        <f t="shared" si="48"/>
        <v>0.203179</v>
      </c>
      <c r="S78" s="36">
        <f>IF(C78&lt;&gt;"Offshore",0,IFERROR(VLOOKUP(D78,'Local Tariffs'!$A$4:$B$98,2,0),VLOOKUP(A78,'Local Tariffs'!$A$4:$B$98,2,0)))</f>
        <v>0</v>
      </c>
      <c r="T78" s="36">
        <f>IF(C78&lt;&gt;"Offshore",0,VLOOKUP(I78,'Local Tariffs'!$E$4:$F$38,2,0))</f>
        <v>0</v>
      </c>
      <c r="U78" s="53">
        <f t="shared" si="49"/>
        <v>206256.83669999999</v>
      </c>
      <c r="V78" s="53">
        <f t="shared" si="50"/>
        <v>0</v>
      </c>
      <c r="W78" s="36">
        <v>8.3392309999999998</v>
      </c>
      <c r="X78" s="37">
        <v>833089.18</v>
      </c>
      <c r="Y78" s="37">
        <v>-2.9999999795109034E-2</v>
      </c>
      <c r="Z78" s="38">
        <v>0</v>
      </c>
      <c r="AA78" s="39">
        <v>0</v>
      </c>
      <c r="AB78" s="40">
        <v>0</v>
      </c>
      <c r="AC78" s="41">
        <v>0</v>
      </c>
      <c r="AD78" s="41">
        <v>0</v>
      </c>
      <c r="AE78" s="58">
        <f t="shared" si="51"/>
        <v>0</v>
      </c>
      <c r="AF78" s="58">
        <f t="shared" si="52"/>
        <v>0</v>
      </c>
      <c r="AG78" s="58">
        <f t="shared" si="53"/>
        <v>0</v>
      </c>
      <c r="AH78" s="41">
        <f t="shared" si="54"/>
        <v>0</v>
      </c>
      <c r="AI78" s="41">
        <f t="shared" si="55"/>
        <v>0</v>
      </c>
      <c r="AJ78" s="41">
        <f t="shared" si="56"/>
        <v>0</v>
      </c>
      <c r="AK78" s="42">
        <v>0</v>
      </c>
      <c r="AL78" s="41">
        <v>-2.9999999795109034E-2</v>
      </c>
      <c r="AM78" s="41">
        <v>833089.20999999985</v>
      </c>
      <c r="AN78" s="64">
        <f t="shared" si="57"/>
        <v>833089.18</v>
      </c>
      <c r="AO78" s="73">
        <f t="shared" si="58"/>
        <v>0</v>
      </c>
      <c r="AP78" s="73">
        <f t="shared" si="59"/>
        <v>0</v>
      </c>
    </row>
    <row r="79" spans="2:42" x14ac:dyDescent="0.25">
      <c r="B79" s="44" t="s">
        <v>418</v>
      </c>
      <c r="C79" s="45" t="s">
        <v>323</v>
      </c>
      <c r="D79" s="45" t="s">
        <v>324</v>
      </c>
      <c r="E79" s="45">
        <v>3</v>
      </c>
      <c r="F79" s="45" t="s">
        <v>333</v>
      </c>
      <c r="G79" s="33">
        <v>0.43657600000000002</v>
      </c>
      <c r="H79" s="34">
        <v>40</v>
      </c>
      <c r="I79" s="35" t="s">
        <v>321</v>
      </c>
      <c r="J79" s="36">
        <v>-4.849145</v>
      </c>
      <c r="K79" s="36">
        <v>9.0596440000000005</v>
      </c>
      <c r="L79" s="53">
        <f t="shared" si="44"/>
        <v>-193965.8</v>
      </c>
      <c r="M79" s="53">
        <f t="shared" si="45"/>
        <v>556351.56000000006</v>
      </c>
      <c r="N79" s="53">
        <f t="shared" si="46"/>
        <v>362385.76000000007</v>
      </c>
      <c r="O79" s="36">
        <v>0</v>
      </c>
      <c r="P79" s="36">
        <v>0.203179</v>
      </c>
      <c r="Q79" s="36">
        <f t="shared" si="47"/>
        <v>0</v>
      </c>
      <c r="R79" s="36">
        <f t="shared" si="48"/>
        <v>0.203179</v>
      </c>
      <c r="S79" s="36">
        <f>IF(C79&lt;&gt;"Offshore",0,IFERROR(VLOOKUP(D79,'Local Tariffs'!$A$4:$B$98,2,0),VLOOKUP(A79,'Local Tariffs'!$A$4:$B$98,2,0)))</f>
        <v>0</v>
      </c>
      <c r="T79" s="36">
        <f>IF(C79&lt;&gt;"Offshore",0,VLOOKUP(I79,'Local Tariffs'!$E$4:$F$38,2,0))</f>
        <v>0</v>
      </c>
      <c r="U79" s="53">
        <f t="shared" si="49"/>
        <v>8127.16</v>
      </c>
      <c r="V79" s="53">
        <f t="shared" si="50"/>
        <v>0</v>
      </c>
      <c r="W79" s="36">
        <v>9.2628230000000009</v>
      </c>
      <c r="X79" s="37">
        <v>370512.92</v>
      </c>
      <c r="Y79" s="37">
        <v>0</v>
      </c>
      <c r="Z79" s="38">
        <v>0</v>
      </c>
      <c r="AA79" s="39">
        <v>0</v>
      </c>
      <c r="AB79" s="40">
        <v>0</v>
      </c>
      <c r="AC79" s="41">
        <v>0</v>
      </c>
      <c r="AD79" s="41">
        <v>0</v>
      </c>
      <c r="AE79" s="58">
        <f t="shared" si="51"/>
        <v>0</v>
      </c>
      <c r="AF79" s="58">
        <f t="shared" si="52"/>
        <v>0</v>
      </c>
      <c r="AG79" s="58">
        <f t="shared" si="53"/>
        <v>0</v>
      </c>
      <c r="AH79" s="41">
        <f t="shared" si="54"/>
        <v>0</v>
      </c>
      <c r="AI79" s="41">
        <f t="shared" si="55"/>
        <v>0</v>
      </c>
      <c r="AJ79" s="41">
        <f t="shared" si="56"/>
        <v>0</v>
      </c>
      <c r="AK79" s="42">
        <v>2098.6</v>
      </c>
      <c r="AL79" s="41">
        <v>2098.6</v>
      </c>
      <c r="AM79" s="41">
        <v>370512.9200000001</v>
      </c>
      <c r="AN79" s="64">
        <f t="shared" si="57"/>
        <v>372611.52000000008</v>
      </c>
      <c r="AO79" s="73">
        <f t="shared" si="58"/>
        <v>0</v>
      </c>
      <c r="AP79" s="73">
        <f t="shared" si="59"/>
        <v>0</v>
      </c>
    </row>
    <row r="80" spans="2:42" x14ac:dyDescent="0.25">
      <c r="B80" s="44" t="s">
        <v>419</v>
      </c>
      <c r="C80" s="45" t="s">
        <v>323</v>
      </c>
      <c r="D80" s="45" t="s">
        <v>419</v>
      </c>
      <c r="E80" s="45">
        <v>1</v>
      </c>
      <c r="F80" s="45" t="s">
        <v>328</v>
      </c>
      <c r="G80" s="33">
        <v>0.44712299999999999</v>
      </c>
      <c r="H80" s="34">
        <v>70</v>
      </c>
      <c r="I80" s="35" t="s">
        <v>359</v>
      </c>
      <c r="J80" s="36">
        <v>-4.849145</v>
      </c>
      <c r="K80" s="36">
        <v>19.499068999999999</v>
      </c>
      <c r="L80" s="53">
        <f t="shared" si="44"/>
        <v>-339440.15</v>
      </c>
      <c r="M80" s="53">
        <f t="shared" si="45"/>
        <v>1704374.9799999997</v>
      </c>
      <c r="N80" s="53">
        <f t="shared" si="46"/>
        <v>1364934.8299999996</v>
      </c>
      <c r="O80" s="36">
        <v>0.24151900000000001</v>
      </c>
      <c r="P80" s="36">
        <v>0.116232</v>
      </c>
      <c r="Q80" s="36">
        <f t="shared" si="47"/>
        <v>0.24151900000000001</v>
      </c>
      <c r="R80" s="36">
        <f t="shared" si="48"/>
        <v>0.116232</v>
      </c>
      <c r="S80" s="36">
        <f>IF(C80&lt;&gt;"Offshore",0,IFERROR(VLOOKUP(D80,'Local Tariffs'!$A$4:$B$98,2,0),VLOOKUP(A80,'Local Tariffs'!$A$4:$B$98,2,0)))</f>
        <v>0</v>
      </c>
      <c r="T80" s="36">
        <f>IF(C80&lt;&gt;"Offshore",0,VLOOKUP(I80,'Local Tariffs'!$E$4:$F$38,2,0))</f>
        <v>0</v>
      </c>
      <c r="U80" s="53">
        <f t="shared" si="49"/>
        <v>25042.57</v>
      </c>
      <c r="V80" s="53">
        <f t="shared" si="50"/>
        <v>0</v>
      </c>
      <c r="W80" s="36">
        <v>19.856819999999999</v>
      </c>
      <c r="X80" s="37">
        <v>1389977.4</v>
      </c>
      <c r="Y80" s="37">
        <v>-9.9999997764825821E-3</v>
      </c>
      <c r="Z80" s="38">
        <v>0</v>
      </c>
      <c r="AA80" s="39">
        <v>0</v>
      </c>
      <c r="AB80" s="40">
        <v>0</v>
      </c>
      <c r="AC80" s="41">
        <v>0</v>
      </c>
      <c r="AD80" s="41">
        <v>0</v>
      </c>
      <c r="AE80" s="58">
        <f t="shared" si="51"/>
        <v>0</v>
      </c>
      <c r="AF80" s="58">
        <f t="shared" si="52"/>
        <v>0</v>
      </c>
      <c r="AG80" s="58">
        <f t="shared" si="53"/>
        <v>0</v>
      </c>
      <c r="AH80" s="41">
        <f t="shared" si="54"/>
        <v>0</v>
      </c>
      <c r="AI80" s="41">
        <f t="shared" si="55"/>
        <v>0</v>
      </c>
      <c r="AJ80" s="41">
        <f t="shared" si="56"/>
        <v>0</v>
      </c>
      <c r="AK80" s="42">
        <v>0</v>
      </c>
      <c r="AL80" s="41">
        <v>-9.9999997764825821E-3</v>
      </c>
      <c r="AM80" s="41">
        <v>1389977.4099999997</v>
      </c>
      <c r="AN80" s="64">
        <f t="shared" si="57"/>
        <v>1389977.4</v>
      </c>
      <c r="AO80" s="73">
        <f t="shared" si="58"/>
        <v>0</v>
      </c>
      <c r="AP80" s="73">
        <f t="shared" si="59"/>
        <v>0</v>
      </c>
    </row>
    <row r="81" spans="1:42" x14ac:dyDescent="0.25">
      <c r="B81" s="44" t="s">
        <v>420</v>
      </c>
      <c r="C81" s="45" t="s">
        <v>323</v>
      </c>
      <c r="D81" s="45" t="s">
        <v>324</v>
      </c>
      <c r="E81" s="45">
        <v>24</v>
      </c>
      <c r="F81" s="45" t="s">
        <v>340</v>
      </c>
      <c r="G81" s="33">
        <v>0.44695099999999999</v>
      </c>
      <c r="H81" s="34">
        <v>1517</v>
      </c>
      <c r="I81" s="35" t="s">
        <v>362</v>
      </c>
      <c r="J81" s="36">
        <v>-4.849145</v>
      </c>
      <c r="K81" s="36">
        <v>-7.3588050000000003</v>
      </c>
      <c r="L81" s="53">
        <f t="shared" si="44"/>
        <v>-7356152.9649999999</v>
      </c>
      <c r="M81" s="53">
        <f t="shared" si="45"/>
        <v>-3807154.22</v>
      </c>
      <c r="N81" s="53">
        <f t="shared" si="46"/>
        <v>-11163307.185000001</v>
      </c>
      <c r="O81" s="36">
        <v>0</v>
      </c>
      <c r="P81" s="36">
        <v>0.43671900000000002</v>
      </c>
      <c r="Q81" s="36">
        <f t="shared" si="47"/>
        <v>0</v>
      </c>
      <c r="R81" s="36">
        <f t="shared" si="48"/>
        <v>0.43671900000000002</v>
      </c>
      <c r="S81" s="36">
        <f>IF(C81&lt;&gt;"Offshore",0,IFERROR(VLOOKUP(D81,'Local Tariffs'!$A$4:$B$98,2,0),VLOOKUP(A81,'Local Tariffs'!$A$4:$B$98,2,0)))</f>
        <v>0</v>
      </c>
      <c r="T81" s="36">
        <f>IF(C81&lt;&gt;"Offshore",0,VLOOKUP(I81,'Local Tariffs'!$E$4:$F$38,2,0))</f>
        <v>0</v>
      </c>
      <c r="U81" s="53">
        <f t="shared" si="49"/>
        <v>662502.72300000011</v>
      </c>
      <c r="V81" s="53">
        <f t="shared" si="50"/>
        <v>0</v>
      </c>
      <c r="W81" s="36">
        <v>-6.9220860000000002</v>
      </c>
      <c r="X81" s="37">
        <v>-10500804.460000001</v>
      </c>
      <c r="Y81" s="37">
        <v>-0.1100000012665987</v>
      </c>
      <c r="Z81" s="38">
        <v>-7.3588050000000003</v>
      </c>
      <c r="AA81" s="39">
        <v>-11163307.189999999</v>
      </c>
      <c r="AB81" s="40">
        <v>1313.0900000000001</v>
      </c>
      <c r="AC81" s="41">
        <v>-9662773.2599999998</v>
      </c>
      <c r="AD81" s="41">
        <v>1500533.9299999997</v>
      </c>
      <c r="AE81" s="58">
        <f t="shared" si="51"/>
        <v>-7.3588050000000003</v>
      </c>
      <c r="AF81" s="58">
        <f t="shared" si="52"/>
        <v>0</v>
      </c>
      <c r="AG81" s="58">
        <f t="shared" si="53"/>
        <v>0</v>
      </c>
      <c r="AH81" s="41">
        <f t="shared" si="54"/>
        <v>1500533.927549999</v>
      </c>
      <c r="AI81" s="41">
        <f t="shared" si="55"/>
        <v>0</v>
      </c>
      <c r="AJ81" s="41">
        <f t="shared" si="56"/>
        <v>0</v>
      </c>
      <c r="AK81" s="42">
        <v>0</v>
      </c>
      <c r="AL81" s="41">
        <v>1500533.8199999984</v>
      </c>
      <c r="AM81" s="41">
        <v>-10500804.35</v>
      </c>
      <c r="AN81" s="64">
        <f t="shared" si="57"/>
        <v>-9000270.5300000012</v>
      </c>
      <c r="AO81" s="73">
        <f t="shared" si="58"/>
        <v>988789.15694999928</v>
      </c>
      <c r="AP81" s="73">
        <f t="shared" si="59"/>
        <v>511744.7705999997</v>
      </c>
    </row>
    <row r="82" spans="1:42" x14ac:dyDescent="0.25">
      <c r="B82" s="44" t="s">
        <v>421</v>
      </c>
      <c r="C82" s="45" t="s">
        <v>2</v>
      </c>
      <c r="D82" s="45" t="s">
        <v>324</v>
      </c>
      <c r="E82" s="45">
        <v>9</v>
      </c>
      <c r="F82" s="45" t="s">
        <v>340</v>
      </c>
      <c r="G82" s="33">
        <v>0.60474300000000003</v>
      </c>
      <c r="H82" s="34">
        <v>120</v>
      </c>
      <c r="I82" s="35" t="s">
        <v>364</v>
      </c>
      <c r="J82" s="36">
        <v>-4.849145</v>
      </c>
      <c r="K82" s="36">
        <v>11.490456776428999</v>
      </c>
      <c r="L82" s="53">
        <f t="shared" si="44"/>
        <v>-581897.4</v>
      </c>
      <c r="M82" s="53">
        <f t="shared" si="45"/>
        <v>1960752.21317148</v>
      </c>
      <c r="N82" s="53">
        <f t="shared" si="46"/>
        <v>1378854.8131714799</v>
      </c>
      <c r="O82" s="36">
        <v>0</v>
      </c>
      <c r="P82" s="36">
        <v>0</v>
      </c>
      <c r="Q82" s="36">
        <f t="shared" si="47"/>
        <v>0</v>
      </c>
      <c r="R82" s="36">
        <f t="shared" si="48"/>
        <v>0</v>
      </c>
      <c r="S82" s="36">
        <f>IF(C82&lt;&gt;"Offshore",0,IFERROR(VLOOKUP(D82,'Local Tariffs'!$A$4:$B$98,2,0),VLOOKUP(A82,'Local Tariffs'!$A$4:$B$98,2,0)))</f>
        <v>0</v>
      </c>
      <c r="T82" s="36">
        <f>IF(C82&lt;&gt;"Offshore",0,VLOOKUP(I82,'Local Tariffs'!$E$4:$F$38,2,0))</f>
        <v>0</v>
      </c>
      <c r="U82" s="53">
        <f t="shared" si="49"/>
        <v>0</v>
      </c>
      <c r="V82" s="53">
        <f t="shared" si="50"/>
        <v>0</v>
      </c>
      <c r="W82" s="36">
        <v>11.490456776428999</v>
      </c>
      <c r="X82" s="37">
        <v>1378854.81</v>
      </c>
      <c r="Y82" s="37">
        <v>-2.0000000484287739E-2</v>
      </c>
      <c r="Z82" s="38">
        <v>0</v>
      </c>
      <c r="AA82" s="39">
        <v>0</v>
      </c>
      <c r="AB82" s="40">
        <v>0</v>
      </c>
      <c r="AC82" s="41">
        <v>0</v>
      </c>
      <c r="AD82" s="41">
        <v>0</v>
      </c>
      <c r="AE82" s="58">
        <f t="shared" si="51"/>
        <v>0</v>
      </c>
      <c r="AF82" s="58">
        <f t="shared" si="52"/>
        <v>0</v>
      </c>
      <c r="AG82" s="58">
        <f t="shared" si="53"/>
        <v>0</v>
      </c>
      <c r="AH82" s="41">
        <f t="shared" si="54"/>
        <v>0</v>
      </c>
      <c r="AI82" s="41">
        <f t="shared" si="55"/>
        <v>0</v>
      </c>
      <c r="AJ82" s="41">
        <f t="shared" si="56"/>
        <v>0</v>
      </c>
      <c r="AK82" s="42">
        <v>0</v>
      </c>
      <c r="AL82" s="41">
        <v>-2.0000000484287739E-2</v>
      </c>
      <c r="AM82" s="41">
        <v>1378854.8300000005</v>
      </c>
      <c r="AN82" s="64">
        <f t="shared" si="57"/>
        <v>1378854.81</v>
      </c>
      <c r="AO82" s="73">
        <f t="shared" si="58"/>
        <v>0</v>
      </c>
      <c r="AP82" s="73">
        <f t="shared" si="59"/>
        <v>0</v>
      </c>
    </row>
    <row r="83" spans="1:42" x14ac:dyDescent="0.25">
      <c r="B83" s="44" t="s">
        <v>422</v>
      </c>
      <c r="C83" s="45" t="s">
        <v>2</v>
      </c>
      <c r="D83" s="45" t="s">
        <v>324</v>
      </c>
      <c r="E83" s="45">
        <v>18</v>
      </c>
      <c r="F83" s="45" t="s">
        <v>340</v>
      </c>
      <c r="G83" s="33">
        <v>0.48879600000000001</v>
      </c>
      <c r="H83" s="34">
        <v>420</v>
      </c>
      <c r="I83" s="35" t="s">
        <v>364</v>
      </c>
      <c r="J83" s="36">
        <v>-4.849145</v>
      </c>
      <c r="K83" s="36">
        <v>-3.3152940000000002</v>
      </c>
      <c r="L83" s="53">
        <f t="shared" si="44"/>
        <v>-2036640.9000000001</v>
      </c>
      <c r="M83" s="53">
        <f t="shared" si="45"/>
        <v>644217.41999999993</v>
      </c>
      <c r="N83" s="53">
        <f t="shared" si="46"/>
        <v>-1392423.4800000002</v>
      </c>
      <c r="O83" s="36">
        <v>0</v>
      </c>
      <c r="P83" s="36">
        <v>0</v>
      </c>
      <c r="Q83" s="36">
        <f t="shared" si="47"/>
        <v>0</v>
      </c>
      <c r="R83" s="36">
        <f t="shared" si="48"/>
        <v>0</v>
      </c>
      <c r="S83" s="36">
        <f>IF(C83&lt;&gt;"Offshore",0,IFERROR(VLOOKUP(D83,'Local Tariffs'!$A$4:$B$98,2,0),VLOOKUP(A83,'Local Tariffs'!$A$4:$B$98,2,0)))</f>
        <v>0</v>
      </c>
      <c r="T83" s="36">
        <f>IF(C83&lt;&gt;"Offshore",0,VLOOKUP(I83,'Local Tariffs'!$E$4:$F$38,2,0))</f>
        <v>0</v>
      </c>
      <c r="U83" s="53">
        <f t="shared" si="49"/>
        <v>0</v>
      </c>
      <c r="V83" s="53">
        <f t="shared" si="50"/>
        <v>0</v>
      </c>
      <c r="W83" s="36">
        <v>-3.3152940000000002</v>
      </c>
      <c r="X83" s="37">
        <v>-1392423.48</v>
      </c>
      <c r="Y83" s="37">
        <v>-3.9999999804422259E-2</v>
      </c>
      <c r="Z83" s="38">
        <v>-3.3152940000000002</v>
      </c>
      <c r="AA83" s="39">
        <v>-1392423.48</v>
      </c>
      <c r="AB83" s="40">
        <v>407.15466666666663</v>
      </c>
      <c r="AC83" s="41">
        <v>-1349837.42</v>
      </c>
      <c r="AD83" s="41">
        <v>42586.060000000056</v>
      </c>
      <c r="AE83" s="58">
        <f t="shared" si="51"/>
        <v>-3.3152940000000002</v>
      </c>
      <c r="AF83" s="58">
        <f t="shared" si="52"/>
        <v>0</v>
      </c>
      <c r="AG83" s="58">
        <f t="shared" si="53"/>
        <v>0</v>
      </c>
      <c r="AH83" s="41">
        <f t="shared" si="54"/>
        <v>42586.056528000125</v>
      </c>
      <c r="AI83" s="41">
        <f t="shared" si="55"/>
        <v>0</v>
      </c>
      <c r="AJ83" s="41">
        <f t="shared" si="56"/>
        <v>0</v>
      </c>
      <c r="AK83" s="42">
        <v>0</v>
      </c>
      <c r="AL83" s="41">
        <v>42586.020000000251</v>
      </c>
      <c r="AM83" s="41">
        <v>-1392423.4400000002</v>
      </c>
      <c r="AN83" s="64">
        <f t="shared" si="57"/>
        <v>-1349837.42</v>
      </c>
      <c r="AO83" s="73">
        <f t="shared" si="58"/>
        <v>42586.056528000125</v>
      </c>
      <c r="AP83" s="73">
        <f t="shared" si="59"/>
        <v>0</v>
      </c>
    </row>
    <row r="84" spans="1:42" x14ac:dyDescent="0.25">
      <c r="B84" s="44" t="s">
        <v>423</v>
      </c>
      <c r="C84" s="45" t="s">
        <v>318</v>
      </c>
      <c r="D84" s="45" t="s">
        <v>423</v>
      </c>
      <c r="E84" s="45">
        <v>18</v>
      </c>
      <c r="F84" s="45" t="s">
        <v>320</v>
      </c>
      <c r="G84" s="33">
        <v>0.43913200000000002</v>
      </c>
      <c r="H84" s="34">
        <v>500</v>
      </c>
      <c r="I84" s="35" t="s">
        <v>424</v>
      </c>
      <c r="J84" s="36">
        <v>-4.849145</v>
      </c>
      <c r="K84" s="36">
        <v>-4.3954360000000001</v>
      </c>
      <c r="L84" s="53">
        <f t="shared" si="44"/>
        <v>-2424572.5</v>
      </c>
      <c r="M84" s="53">
        <f t="shared" si="45"/>
        <v>226854.49999999997</v>
      </c>
      <c r="N84" s="53">
        <f t="shared" si="46"/>
        <v>-2197718</v>
      </c>
      <c r="O84" s="36">
        <v>35.213270999999999</v>
      </c>
      <c r="P84" s="36">
        <v>15.324099</v>
      </c>
      <c r="Q84" s="36">
        <f t="shared" si="47"/>
        <v>0</v>
      </c>
      <c r="R84" s="36">
        <f t="shared" si="48"/>
        <v>0</v>
      </c>
      <c r="S84" s="36">
        <f>IF(C84&lt;&gt;"Offshore",0,IFERROR(VLOOKUP(D84,'Local Tariffs'!$A$4:$B$98,2,0),VLOOKUP(A84,'Local Tariffs'!$A$4:$B$98,2,0)))</f>
        <v>35.213270999999999</v>
      </c>
      <c r="T84" s="36">
        <f>IF(C84&lt;&gt;"Offshore",0,VLOOKUP(I84,'Local Tariffs'!$E$4:$F$38,2,0))</f>
        <v>15.324099</v>
      </c>
      <c r="U84" s="53">
        <f t="shared" si="49"/>
        <v>0</v>
      </c>
      <c r="V84" s="53">
        <f t="shared" si="50"/>
        <v>25268684.999999996</v>
      </c>
      <c r="W84" s="36">
        <v>46.141933999999999</v>
      </c>
      <c r="X84" s="37">
        <v>23070967</v>
      </c>
      <c r="Y84" s="37">
        <v>0.23000000044703484</v>
      </c>
      <c r="Z84" s="38">
        <v>-4.3954360000000001</v>
      </c>
      <c r="AA84" s="39">
        <v>-2197718</v>
      </c>
      <c r="AB84" s="40">
        <v>471.48399999999998</v>
      </c>
      <c r="AC84" s="41">
        <v>-2072377.75</v>
      </c>
      <c r="AD84" s="41">
        <v>125340.25</v>
      </c>
      <c r="AE84" s="58">
        <f t="shared" si="51"/>
        <v>-4.3954360000000001</v>
      </c>
      <c r="AF84" s="58">
        <f t="shared" si="52"/>
        <v>0</v>
      </c>
      <c r="AG84" s="58">
        <f t="shared" si="53"/>
        <v>0</v>
      </c>
      <c r="AH84" s="41">
        <f t="shared" si="54"/>
        <v>125340.25297600009</v>
      </c>
      <c r="AI84" s="41">
        <f t="shared" si="55"/>
        <v>0</v>
      </c>
      <c r="AJ84" s="41">
        <f t="shared" si="56"/>
        <v>0</v>
      </c>
      <c r="AK84" s="42">
        <v>0</v>
      </c>
      <c r="AL84" s="41">
        <v>125340.48000000045</v>
      </c>
      <c r="AM84" s="41">
        <v>23070966.77</v>
      </c>
      <c r="AN84" s="64">
        <f t="shared" si="57"/>
        <v>23196307.25</v>
      </c>
      <c r="AO84" s="73">
        <f t="shared" si="58"/>
        <v>125340.25297600009</v>
      </c>
      <c r="AP84" s="73">
        <f t="shared" si="59"/>
        <v>0</v>
      </c>
    </row>
    <row r="85" spans="1:42" x14ac:dyDescent="0.25">
      <c r="B85" s="44" t="s">
        <v>425</v>
      </c>
      <c r="C85" s="45" t="s">
        <v>323</v>
      </c>
      <c r="D85" s="45" t="s">
        <v>425</v>
      </c>
      <c r="E85" s="45">
        <v>5</v>
      </c>
      <c r="F85" s="45" t="s">
        <v>328</v>
      </c>
      <c r="G85" s="33">
        <v>0.29097899999999999</v>
      </c>
      <c r="H85" s="34">
        <v>188.6</v>
      </c>
      <c r="I85" s="35" t="s">
        <v>331</v>
      </c>
      <c r="J85" s="36">
        <v>-4.849145</v>
      </c>
      <c r="K85" s="36">
        <v>14.590778</v>
      </c>
      <c r="L85" s="53">
        <f t="shared" si="44"/>
        <v>-914548.74699999997</v>
      </c>
      <c r="M85" s="53">
        <f t="shared" si="45"/>
        <v>3666369.4778</v>
      </c>
      <c r="N85" s="53">
        <f t="shared" si="46"/>
        <v>2751820.7308</v>
      </c>
      <c r="O85" s="36">
        <v>9.8298989999999993</v>
      </c>
      <c r="P85" s="36">
        <v>0.44758700000000001</v>
      </c>
      <c r="Q85" s="36">
        <f t="shared" si="47"/>
        <v>9.8298989999999993</v>
      </c>
      <c r="R85" s="36">
        <f t="shared" si="48"/>
        <v>0.44758700000000001</v>
      </c>
      <c r="S85" s="36">
        <f>IF(C85&lt;&gt;"Offshore",0,IFERROR(VLOOKUP(D85,'Local Tariffs'!$A$4:$B$98,2,0),VLOOKUP(A85,'Local Tariffs'!$A$4:$B$98,2,0)))</f>
        <v>0</v>
      </c>
      <c r="T85" s="36">
        <f>IF(C85&lt;&gt;"Offshore",0,VLOOKUP(I85,'Local Tariffs'!$E$4:$F$38,2,0))</f>
        <v>0</v>
      </c>
      <c r="U85" s="53">
        <f t="shared" si="49"/>
        <v>1938333.8595999999</v>
      </c>
      <c r="V85" s="53">
        <f t="shared" si="50"/>
        <v>0</v>
      </c>
      <c r="W85" s="36">
        <v>24.868263999999996</v>
      </c>
      <c r="X85" s="37">
        <v>4690154.59</v>
      </c>
      <c r="Y85" s="37">
        <v>7.9999999143183231E-2</v>
      </c>
      <c r="Z85" s="38">
        <v>0</v>
      </c>
      <c r="AA85" s="39">
        <v>0</v>
      </c>
      <c r="AB85" s="40">
        <v>0</v>
      </c>
      <c r="AC85" s="41">
        <v>0</v>
      </c>
      <c r="AD85" s="41">
        <v>0</v>
      </c>
      <c r="AE85" s="58">
        <f t="shared" si="51"/>
        <v>0</v>
      </c>
      <c r="AF85" s="58">
        <f t="shared" si="52"/>
        <v>0</v>
      </c>
      <c r="AG85" s="58">
        <f t="shared" si="53"/>
        <v>0</v>
      </c>
      <c r="AH85" s="41">
        <f t="shared" si="54"/>
        <v>0</v>
      </c>
      <c r="AI85" s="41">
        <f t="shared" si="55"/>
        <v>0</v>
      </c>
      <c r="AJ85" s="41">
        <f t="shared" si="56"/>
        <v>0</v>
      </c>
      <c r="AK85" s="42">
        <v>0</v>
      </c>
      <c r="AL85" s="41">
        <v>7.9999999143183231E-2</v>
      </c>
      <c r="AM85" s="41">
        <v>4690154.5100000007</v>
      </c>
      <c r="AN85" s="64">
        <f t="shared" si="57"/>
        <v>4690154.59</v>
      </c>
      <c r="AO85" s="73">
        <f t="shared" si="58"/>
        <v>0</v>
      </c>
      <c r="AP85" s="73">
        <f t="shared" si="59"/>
        <v>0</v>
      </c>
    </row>
    <row r="86" spans="1:42" x14ac:dyDescent="0.25">
      <c r="A86" t="s">
        <v>572</v>
      </c>
      <c r="B86" s="44" t="s">
        <v>426</v>
      </c>
      <c r="C86" s="45" t="s">
        <v>318</v>
      </c>
      <c r="D86" s="45" t="s">
        <v>427</v>
      </c>
      <c r="E86" s="45">
        <v>18</v>
      </c>
      <c r="F86" s="45" t="s">
        <v>320</v>
      </c>
      <c r="G86" s="33">
        <v>0.46703</v>
      </c>
      <c r="H86" s="34">
        <v>99.9</v>
      </c>
      <c r="I86" s="35" t="s">
        <v>428</v>
      </c>
      <c r="J86" s="36">
        <v>-4.849145</v>
      </c>
      <c r="K86" s="36">
        <v>-15.912236999999999</v>
      </c>
      <c r="L86" s="53">
        <f t="shared" si="44"/>
        <v>-484429.58550000004</v>
      </c>
      <c r="M86" s="53">
        <f t="shared" si="45"/>
        <v>-1105202.8907999999</v>
      </c>
      <c r="N86" s="53">
        <f t="shared" si="46"/>
        <v>-1589632.4763</v>
      </c>
      <c r="O86" s="36">
        <v>16.218122999999999</v>
      </c>
      <c r="P86" s="36">
        <v>17.665293999999999</v>
      </c>
      <c r="Q86" s="36">
        <f t="shared" si="47"/>
        <v>0</v>
      </c>
      <c r="R86" s="36">
        <f t="shared" si="48"/>
        <v>0</v>
      </c>
      <c r="S86" s="36">
        <f>IF(C86&lt;&gt;"Offshore",0,IFERROR(VLOOKUP(D86,'Local Tariffs'!$A$4:$B$98,2,0),VLOOKUP(A86,'Local Tariffs'!$A$4:$B$98,2,0)))</f>
        <v>16.218122999999999</v>
      </c>
      <c r="T86" s="36">
        <f>IF(C86&lt;&gt;"Offshore",0,VLOOKUP(I86,'Local Tariffs'!$E$4:$F$38,2,0))</f>
        <v>17.665293999999999</v>
      </c>
      <c r="U86" s="53">
        <f t="shared" si="49"/>
        <v>0</v>
      </c>
      <c r="V86" s="53">
        <f t="shared" si="50"/>
        <v>3384953.3583</v>
      </c>
      <c r="W86" s="36">
        <v>17.971179999999997</v>
      </c>
      <c r="X86" s="37">
        <v>1795320.88</v>
      </c>
      <c r="Y86" s="37">
        <v>2.999999956227839E-2</v>
      </c>
      <c r="Z86" s="38">
        <v>-15.912236999999999</v>
      </c>
      <c r="AA86" s="39">
        <v>-1589632.48</v>
      </c>
      <c r="AB86" s="40">
        <v>99.9</v>
      </c>
      <c r="AC86" s="41">
        <v>-1589632.48</v>
      </c>
      <c r="AD86" s="41">
        <v>0</v>
      </c>
      <c r="AE86" s="58">
        <f t="shared" si="51"/>
        <v>-15.912236999999999</v>
      </c>
      <c r="AF86" s="58">
        <f t="shared" si="52"/>
        <v>0</v>
      </c>
      <c r="AG86" s="58">
        <f t="shared" si="53"/>
        <v>0</v>
      </c>
      <c r="AH86" s="41">
        <f t="shared" si="54"/>
        <v>0</v>
      </c>
      <c r="AI86" s="41">
        <f t="shared" si="55"/>
        <v>0</v>
      </c>
      <c r="AJ86" s="41">
        <f t="shared" si="56"/>
        <v>0</v>
      </c>
      <c r="AK86" s="42">
        <v>10412.42</v>
      </c>
      <c r="AL86" s="41">
        <v>10412.449999999562</v>
      </c>
      <c r="AM86" s="41">
        <v>1795320.8500000003</v>
      </c>
      <c r="AN86" s="64">
        <f t="shared" si="57"/>
        <v>1805733.2999999998</v>
      </c>
      <c r="AO86" s="73">
        <f t="shared" si="58"/>
        <v>0</v>
      </c>
      <c r="AP86" s="73">
        <f t="shared" si="59"/>
        <v>0</v>
      </c>
    </row>
    <row r="87" spans="1:42" x14ac:dyDescent="0.25">
      <c r="A87" t="s">
        <v>572</v>
      </c>
      <c r="B87" s="44" t="s">
        <v>429</v>
      </c>
      <c r="C87" s="45" t="s">
        <v>318</v>
      </c>
      <c r="D87" s="45" t="s">
        <v>427</v>
      </c>
      <c r="E87" s="45">
        <v>18</v>
      </c>
      <c r="F87" s="45" t="s">
        <v>320</v>
      </c>
      <c r="G87" s="33">
        <v>0.45234400000000002</v>
      </c>
      <c r="H87" s="34">
        <v>64</v>
      </c>
      <c r="I87" s="35" t="s">
        <v>428</v>
      </c>
      <c r="J87" s="36">
        <v>-4.849145</v>
      </c>
      <c r="K87" s="36">
        <v>-15.927410999999999</v>
      </c>
      <c r="L87" s="53">
        <f t="shared" si="44"/>
        <v>-310345.28000000003</v>
      </c>
      <c r="M87" s="53">
        <f t="shared" si="45"/>
        <v>-709009.02399999998</v>
      </c>
      <c r="N87" s="53">
        <f t="shared" si="46"/>
        <v>-1019354.304</v>
      </c>
      <c r="O87" s="36">
        <v>16.218122999999999</v>
      </c>
      <c r="P87" s="36">
        <v>17.665293999999999</v>
      </c>
      <c r="Q87" s="36">
        <f t="shared" si="47"/>
        <v>0</v>
      </c>
      <c r="R87" s="36">
        <f t="shared" si="48"/>
        <v>0</v>
      </c>
      <c r="S87" s="36">
        <f>IF(C87&lt;&gt;"Offshore",0,IFERROR(VLOOKUP(D87,'Local Tariffs'!$A$4:$B$98,2,0),VLOOKUP(A87,'Local Tariffs'!$A$4:$B$98,2,0)))</f>
        <v>16.218122999999999</v>
      </c>
      <c r="T87" s="36">
        <f>IF(C87&lt;&gt;"Offshore",0,VLOOKUP(I87,'Local Tariffs'!$E$4:$F$38,2,0))</f>
        <v>17.665293999999999</v>
      </c>
      <c r="U87" s="53">
        <f t="shared" si="49"/>
        <v>0</v>
      </c>
      <c r="V87" s="53">
        <f t="shared" si="50"/>
        <v>2168538.6879999996</v>
      </c>
      <c r="W87" s="36">
        <v>17.956005999999999</v>
      </c>
      <c r="X87" s="37">
        <v>1149184.3799999999</v>
      </c>
      <c r="Y87" s="37">
        <v>-1.0000000242143869E-2</v>
      </c>
      <c r="Z87" s="38">
        <v>-15.927410999999999</v>
      </c>
      <c r="AA87" s="39">
        <v>-1019354.3</v>
      </c>
      <c r="AB87" s="40">
        <v>64</v>
      </c>
      <c r="AC87" s="41">
        <v>-1019354.3</v>
      </c>
      <c r="AD87" s="41">
        <v>0</v>
      </c>
      <c r="AE87" s="58">
        <f t="shared" si="51"/>
        <v>-15.927410999999999</v>
      </c>
      <c r="AF87" s="58">
        <f t="shared" si="52"/>
        <v>0</v>
      </c>
      <c r="AG87" s="58">
        <f t="shared" si="53"/>
        <v>0</v>
      </c>
      <c r="AH87" s="41">
        <f t="shared" si="54"/>
        <v>0</v>
      </c>
      <c r="AI87" s="41">
        <f t="shared" si="55"/>
        <v>0</v>
      </c>
      <c r="AJ87" s="41">
        <f t="shared" si="56"/>
        <v>0</v>
      </c>
      <c r="AK87" s="42">
        <v>9306.99</v>
      </c>
      <c r="AL87" s="41">
        <v>9306.9799999997576</v>
      </c>
      <c r="AM87" s="41">
        <v>1149184.3900000001</v>
      </c>
      <c r="AN87" s="64">
        <f t="shared" si="57"/>
        <v>1158491.3699999999</v>
      </c>
      <c r="AO87" s="73">
        <f t="shared" si="58"/>
        <v>0</v>
      </c>
      <c r="AP87" s="73">
        <f t="shared" si="59"/>
        <v>0</v>
      </c>
    </row>
    <row r="88" spans="1:42" x14ac:dyDescent="0.25">
      <c r="B88" s="44" t="s">
        <v>430</v>
      </c>
      <c r="C88" s="45" t="s">
        <v>318</v>
      </c>
      <c r="D88" s="32" t="s">
        <v>430</v>
      </c>
      <c r="E88" s="45">
        <v>16</v>
      </c>
      <c r="F88" s="45" t="s">
        <v>320</v>
      </c>
      <c r="G88" s="33">
        <v>0.52284600000000003</v>
      </c>
      <c r="H88" s="34">
        <v>574</v>
      </c>
      <c r="I88" s="35" t="s">
        <v>431</v>
      </c>
      <c r="J88" s="36">
        <v>-4.849145</v>
      </c>
      <c r="K88" s="36">
        <v>-4.6629829999999997</v>
      </c>
      <c r="L88" s="53">
        <f t="shared" si="44"/>
        <v>-2783409.23</v>
      </c>
      <c r="M88" s="53">
        <f t="shared" si="45"/>
        <v>106856.98800000022</v>
      </c>
      <c r="N88" s="53">
        <f t="shared" si="46"/>
        <v>-2676552.2419999996</v>
      </c>
      <c r="O88" s="36">
        <v>18.377137999999999</v>
      </c>
      <c r="P88" s="36">
        <v>18.654651000000001</v>
      </c>
      <c r="Q88" s="36">
        <f t="shared" si="47"/>
        <v>0</v>
      </c>
      <c r="R88" s="36">
        <f t="shared" si="48"/>
        <v>0</v>
      </c>
      <c r="S88" s="36">
        <f>IF(C88&lt;&gt;"Offshore",0,IFERROR(VLOOKUP(D88,'Local Tariffs'!$A$4:$B$98,2,0),VLOOKUP(A88,'Local Tariffs'!$A$4:$B$98,2,0)))</f>
        <v>18.377137999999999</v>
      </c>
      <c r="T88" s="36">
        <f>IF(C88&lt;&gt;"Offshore",0,VLOOKUP(I88,'Local Tariffs'!$E$4:$F$38,2,0))</f>
        <v>18.654651000000001</v>
      </c>
      <c r="U88" s="53">
        <f t="shared" si="49"/>
        <v>0</v>
      </c>
      <c r="V88" s="53">
        <f t="shared" si="50"/>
        <v>21256246.886</v>
      </c>
      <c r="W88" s="36">
        <v>32.368805999999999</v>
      </c>
      <c r="X88" s="37">
        <v>18579694.640000001</v>
      </c>
      <c r="Y88" s="37">
        <v>3.0000001192092896E-2</v>
      </c>
      <c r="Z88" s="38">
        <v>-4.6629829999999997</v>
      </c>
      <c r="AA88" s="39">
        <v>-2676552.2400000002</v>
      </c>
      <c r="AB88" s="40">
        <v>424.44133333333338</v>
      </c>
      <c r="AC88" s="41">
        <v>-1979162.72</v>
      </c>
      <c r="AD88" s="41">
        <v>697389.52000000025</v>
      </c>
      <c r="AE88" s="58">
        <f t="shared" si="51"/>
        <v>-4.6629829999999997</v>
      </c>
      <c r="AF88" s="58">
        <f t="shared" si="52"/>
        <v>0</v>
      </c>
      <c r="AG88" s="58">
        <f t="shared" si="53"/>
        <v>0</v>
      </c>
      <c r="AH88" s="41">
        <f t="shared" si="54"/>
        <v>697389.52016933309</v>
      </c>
      <c r="AI88" s="41">
        <f t="shared" si="55"/>
        <v>0</v>
      </c>
      <c r="AJ88" s="41">
        <f t="shared" si="56"/>
        <v>0</v>
      </c>
      <c r="AK88" s="42">
        <v>0</v>
      </c>
      <c r="AL88" s="41">
        <v>697389.55000000144</v>
      </c>
      <c r="AM88" s="41">
        <v>18579694.609999999</v>
      </c>
      <c r="AN88" s="64">
        <f t="shared" si="57"/>
        <v>19277084.16</v>
      </c>
      <c r="AO88" s="73">
        <f t="shared" si="58"/>
        <v>697389.52016933309</v>
      </c>
      <c r="AP88" s="73">
        <f t="shared" si="59"/>
        <v>0</v>
      </c>
    </row>
    <row r="89" spans="1:42" x14ac:dyDescent="0.25">
      <c r="B89" s="44" t="s">
        <v>432</v>
      </c>
      <c r="C89" s="45" t="s">
        <v>323</v>
      </c>
      <c r="D89" s="45" t="s">
        <v>432</v>
      </c>
      <c r="E89" s="45">
        <v>10</v>
      </c>
      <c r="F89" s="45" t="s">
        <v>328</v>
      </c>
      <c r="G89" s="33">
        <v>0.32249100000000003</v>
      </c>
      <c r="H89" s="34">
        <v>99.9</v>
      </c>
      <c r="I89" s="35" t="s">
        <v>321</v>
      </c>
      <c r="J89" s="36">
        <v>-4.849145</v>
      </c>
      <c r="K89" s="36">
        <v>-0.87381899999999924</v>
      </c>
      <c r="L89" s="53">
        <f t="shared" si="44"/>
        <v>-484429.58550000004</v>
      </c>
      <c r="M89" s="53">
        <f t="shared" si="45"/>
        <v>397135.06740000006</v>
      </c>
      <c r="N89" s="53">
        <f t="shared" si="46"/>
        <v>-87294.518099999987</v>
      </c>
      <c r="O89" s="36">
        <v>2.801053</v>
      </c>
      <c r="P89" s="36">
        <v>0.203179</v>
      </c>
      <c r="Q89" s="36">
        <f t="shared" si="47"/>
        <v>2.801053</v>
      </c>
      <c r="R89" s="36">
        <f t="shared" si="48"/>
        <v>0.203179</v>
      </c>
      <c r="S89" s="36">
        <f>IF(C89&lt;&gt;"Offshore",0,IFERROR(VLOOKUP(D89,'Local Tariffs'!$A$4:$B$98,2,0),VLOOKUP(A89,'Local Tariffs'!$A$4:$B$98,2,0)))</f>
        <v>0</v>
      </c>
      <c r="T89" s="36">
        <f>IF(C89&lt;&gt;"Offshore",0,VLOOKUP(I89,'Local Tariffs'!$E$4:$F$38,2,0))</f>
        <v>0</v>
      </c>
      <c r="U89" s="53">
        <f t="shared" si="49"/>
        <v>300122.77679999999</v>
      </c>
      <c r="V89" s="53">
        <f t="shared" si="50"/>
        <v>0</v>
      </c>
      <c r="W89" s="36">
        <v>2.1304130000000008</v>
      </c>
      <c r="X89" s="37">
        <v>212828.26</v>
      </c>
      <c r="Y89" s="37">
        <v>0</v>
      </c>
      <c r="Z89" s="38">
        <v>-0.87381899999999924</v>
      </c>
      <c r="AA89" s="39">
        <v>-87294.52</v>
      </c>
      <c r="AB89" s="40">
        <v>99.673333333333332</v>
      </c>
      <c r="AC89" s="41">
        <v>-87096.45</v>
      </c>
      <c r="AD89" s="41">
        <v>198.07000000000698</v>
      </c>
      <c r="AE89" s="58">
        <f t="shared" si="51"/>
        <v>-0.87381899999999924</v>
      </c>
      <c r="AF89" s="58">
        <f t="shared" si="52"/>
        <v>0</v>
      </c>
      <c r="AG89" s="58">
        <f t="shared" si="53"/>
        <v>0</v>
      </c>
      <c r="AH89" s="41">
        <f t="shared" si="54"/>
        <v>198.06564000000594</v>
      </c>
      <c r="AI89" s="41">
        <f t="shared" si="55"/>
        <v>0</v>
      </c>
      <c r="AJ89" s="41">
        <f t="shared" si="56"/>
        <v>0</v>
      </c>
      <c r="AK89" s="42">
        <v>4409.91</v>
      </c>
      <c r="AL89" s="41">
        <v>4607.9800000000068</v>
      </c>
      <c r="AM89" s="41">
        <v>212828.25999999998</v>
      </c>
      <c r="AN89" s="64">
        <f t="shared" si="57"/>
        <v>217436.24</v>
      </c>
      <c r="AO89" s="73">
        <f t="shared" si="58"/>
        <v>198.06564000000594</v>
      </c>
      <c r="AP89" s="73">
        <f t="shared" si="59"/>
        <v>0</v>
      </c>
    </row>
    <row r="90" spans="1:42" x14ac:dyDescent="0.25">
      <c r="B90" s="44" t="s">
        <v>433</v>
      </c>
      <c r="C90" s="45" t="s">
        <v>323</v>
      </c>
      <c r="D90" s="45" t="s">
        <v>324</v>
      </c>
      <c r="E90" s="45">
        <v>1</v>
      </c>
      <c r="F90" s="45" t="s">
        <v>328</v>
      </c>
      <c r="G90" s="33">
        <v>0.35665999999999998</v>
      </c>
      <c r="H90" s="34">
        <v>28.5</v>
      </c>
      <c r="I90" s="35" t="s">
        <v>331</v>
      </c>
      <c r="J90" s="36">
        <v>-4.849145</v>
      </c>
      <c r="K90" s="36">
        <v>6.0648850000000021</v>
      </c>
      <c r="L90" s="53">
        <f t="shared" si="44"/>
        <v>-138200.63250000001</v>
      </c>
      <c r="M90" s="53">
        <f t="shared" si="45"/>
        <v>311049.85500000004</v>
      </c>
      <c r="N90" s="53">
        <f t="shared" si="46"/>
        <v>172849.22250000003</v>
      </c>
      <c r="O90" s="36">
        <v>0</v>
      </c>
      <c r="P90" s="36">
        <v>0.44758700000000001</v>
      </c>
      <c r="Q90" s="36">
        <f t="shared" si="47"/>
        <v>0</v>
      </c>
      <c r="R90" s="36">
        <f t="shared" si="48"/>
        <v>0.44758700000000001</v>
      </c>
      <c r="S90" s="36">
        <f>IF(C90&lt;&gt;"Offshore",0,IFERROR(VLOOKUP(D90,'Local Tariffs'!$A$4:$B$98,2,0),VLOOKUP(A90,'Local Tariffs'!$A$4:$B$98,2,0)))</f>
        <v>0</v>
      </c>
      <c r="T90" s="36">
        <f>IF(C90&lt;&gt;"Offshore",0,VLOOKUP(I90,'Local Tariffs'!$E$4:$F$38,2,0))</f>
        <v>0</v>
      </c>
      <c r="U90" s="53">
        <f t="shared" si="49"/>
        <v>12756.229499999999</v>
      </c>
      <c r="V90" s="53">
        <f t="shared" si="50"/>
        <v>0</v>
      </c>
      <c r="W90" s="36">
        <v>6.5124720000000025</v>
      </c>
      <c r="X90" s="37">
        <v>185605.45</v>
      </c>
      <c r="Y90" s="37">
        <v>-9.9999999802093953E-3</v>
      </c>
      <c r="Z90" s="38">
        <v>0</v>
      </c>
      <c r="AA90" s="39">
        <v>0</v>
      </c>
      <c r="AB90" s="40">
        <v>0</v>
      </c>
      <c r="AC90" s="41">
        <v>0</v>
      </c>
      <c r="AD90" s="41">
        <v>0</v>
      </c>
      <c r="AE90" s="58">
        <f t="shared" si="51"/>
        <v>0</v>
      </c>
      <c r="AF90" s="58">
        <f t="shared" si="52"/>
        <v>0</v>
      </c>
      <c r="AG90" s="58">
        <f t="shared" si="53"/>
        <v>0</v>
      </c>
      <c r="AH90" s="41">
        <f t="shared" si="54"/>
        <v>0</v>
      </c>
      <c r="AI90" s="41">
        <f t="shared" si="55"/>
        <v>0</v>
      </c>
      <c r="AJ90" s="41">
        <f t="shared" si="56"/>
        <v>0</v>
      </c>
      <c r="AK90" s="42">
        <v>816.9</v>
      </c>
      <c r="AL90" s="41">
        <v>816.89000000001977</v>
      </c>
      <c r="AM90" s="41">
        <v>185605.46</v>
      </c>
      <c r="AN90" s="64">
        <f t="shared" si="57"/>
        <v>186422.35</v>
      </c>
      <c r="AO90" s="73">
        <f t="shared" si="58"/>
        <v>0</v>
      </c>
      <c r="AP90" s="73">
        <f t="shared" si="59"/>
        <v>0</v>
      </c>
    </row>
    <row r="91" spans="1:42" x14ac:dyDescent="0.25">
      <c r="B91" s="44" t="s">
        <v>434</v>
      </c>
      <c r="C91" s="45" t="s">
        <v>323</v>
      </c>
      <c r="D91" s="45" t="s">
        <v>434</v>
      </c>
      <c r="E91" s="45">
        <v>12</v>
      </c>
      <c r="F91" s="45" t="s">
        <v>328</v>
      </c>
      <c r="G91" s="33">
        <v>0.26763999999999999</v>
      </c>
      <c r="H91" s="34">
        <v>125</v>
      </c>
      <c r="I91" s="35" t="s">
        <v>321</v>
      </c>
      <c r="J91" s="36">
        <v>-4.849145</v>
      </c>
      <c r="K91" s="36">
        <v>3.6274079999999991</v>
      </c>
      <c r="L91" s="53">
        <f t="shared" si="44"/>
        <v>-606143.125</v>
      </c>
      <c r="M91" s="53">
        <f t="shared" si="45"/>
        <v>1059569.125</v>
      </c>
      <c r="N91" s="53">
        <f t="shared" si="46"/>
        <v>453426</v>
      </c>
      <c r="O91" s="36">
        <v>2.5547200000000001</v>
      </c>
      <c r="P91" s="36">
        <v>0.203179</v>
      </c>
      <c r="Q91" s="36">
        <f t="shared" si="47"/>
        <v>2.5547200000000001</v>
      </c>
      <c r="R91" s="36">
        <f t="shared" si="48"/>
        <v>0.203179</v>
      </c>
      <c r="S91" s="36">
        <f>IF(C91&lt;&gt;"Offshore",0,IFERROR(VLOOKUP(D91,'Local Tariffs'!$A$4:$B$98,2,0),VLOOKUP(A91,'Local Tariffs'!$A$4:$B$98,2,0)))</f>
        <v>0</v>
      </c>
      <c r="T91" s="36">
        <f>IF(C91&lt;&gt;"Offshore",0,VLOOKUP(I91,'Local Tariffs'!$E$4:$F$38,2,0))</f>
        <v>0</v>
      </c>
      <c r="U91" s="53">
        <f t="shared" si="49"/>
        <v>344737.375</v>
      </c>
      <c r="V91" s="53">
        <f t="shared" si="50"/>
        <v>0</v>
      </c>
      <c r="W91" s="36">
        <v>6.3853069999999992</v>
      </c>
      <c r="X91" s="37">
        <v>798163.38</v>
      </c>
      <c r="Y91" s="37">
        <v>-4.9999999930150807E-2</v>
      </c>
      <c r="Z91" s="38">
        <v>0</v>
      </c>
      <c r="AA91" s="39">
        <v>0</v>
      </c>
      <c r="AB91" s="40">
        <v>0</v>
      </c>
      <c r="AC91" s="41">
        <v>0</v>
      </c>
      <c r="AD91" s="41">
        <v>0</v>
      </c>
      <c r="AE91" s="58">
        <f t="shared" si="51"/>
        <v>0</v>
      </c>
      <c r="AF91" s="58">
        <f t="shared" si="52"/>
        <v>0</v>
      </c>
      <c r="AG91" s="58">
        <f t="shared" si="53"/>
        <v>0</v>
      </c>
      <c r="AH91" s="41">
        <f t="shared" si="54"/>
        <v>0</v>
      </c>
      <c r="AI91" s="41">
        <f t="shared" si="55"/>
        <v>0</v>
      </c>
      <c r="AJ91" s="41">
        <f t="shared" si="56"/>
        <v>0</v>
      </c>
      <c r="AK91" s="42">
        <v>0</v>
      </c>
      <c r="AL91" s="41">
        <v>-4.9999999930150807E-2</v>
      </c>
      <c r="AM91" s="41">
        <v>798163.42999999993</v>
      </c>
      <c r="AN91" s="64">
        <f t="shared" si="57"/>
        <v>798163.38</v>
      </c>
      <c r="AO91" s="73">
        <f t="shared" si="58"/>
        <v>0</v>
      </c>
      <c r="AP91" s="73">
        <f t="shared" si="59"/>
        <v>0</v>
      </c>
    </row>
    <row r="92" spans="1:42" x14ac:dyDescent="0.25">
      <c r="B92" s="44" t="s">
        <v>435</v>
      </c>
      <c r="C92" s="45" t="s">
        <v>323</v>
      </c>
      <c r="D92" s="45" t="s">
        <v>435</v>
      </c>
      <c r="E92" s="45">
        <v>13</v>
      </c>
      <c r="F92" s="45" t="s">
        <v>395</v>
      </c>
      <c r="G92" s="33">
        <v>0.71647099999999997</v>
      </c>
      <c r="H92" s="34">
        <v>1207</v>
      </c>
      <c r="I92" s="35" t="s">
        <v>326</v>
      </c>
      <c r="J92" s="36">
        <v>-4.849145</v>
      </c>
      <c r="K92" s="36">
        <v>7.5183409999999995</v>
      </c>
      <c r="L92" s="53">
        <f t="shared" si="44"/>
        <v>-5852918.0150000006</v>
      </c>
      <c r="M92" s="53">
        <f t="shared" si="45"/>
        <v>14927555.601999998</v>
      </c>
      <c r="N92" s="53">
        <f t="shared" si="46"/>
        <v>9074637.5869999975</v>
      </c>
      <c r="O92" s="36">
        <v>0.207898</v>
      </c>
      <c r="P92" s="36">
        <v>0.27692499999999998</v>
      </c>
      <c r="Q92" s="36">
        <f t="shared" si="47"/>
        <v>0.207898</v>
      </c>
      <c r="R92" s="36">
        <f t="shared" si="48"/>
        <v>0.27692499999999998</v>
      </c>
      <c r="S92" s="36">
        <f>IF(C92&lt;&gt;"Offshore",0,IFERROR(VLOOKUP(D92,'Local Tariffs'!$A$4:$B$98,2,0),VLOOKUP(A92,'Local Tariffs'!$A$4:$B$98,2,0)))</f>
        <v>0</v>
      </c>
      <c r="T92" s="36">
        <f>IF(C92&lt;&gt;"Offshore",0,VLOOKUP(I92,'Local Tariffs'!$E$4:$F$38,2,0))</f>
        <v>0</v>
      </c>
      <c r="U92" s="53">
        <f t="shared" si="49"/>
        <v>585181.36100000003</v>
      </c>
      <c r="V92" s="53">
        <f t="shared" si="50"/>
        <v>0</v>
      </c>
      <c r="W92" s="36">
        <v>8.0031639999999999</v>
      </c>
      <c r="X92" s="37">
        <v>9659818.9499999993</v>
      </c>
      <c r="Y92" s="37">
        <v>2.9999999329447746E-2</v>
      </c>
      <c r="Z92" s="38">
        <v>0</v>
      </c>
      <c r="AA92" s="39">
        <v>0</v>
      </c>
      <c r="AB92" s="40">
        <v>0</v>
      </c>
      <c r="AC92" s="41">
        <v>0</v>
      </c>
      <c r="AD92" s="41">
        <v>0</v>
      </c>
      <c r="AE92" s="58">
        <f t="shared" si="51"/>
        <v>0</v>
      </c>
      <c r="AF92" s="58">
        <f t="shared" si="52"/>
        <v>0</v>
      </c>
      <c r="AG92" s="58">
        <f t="shared" si="53"/>
        <v>0</v>
      </c>
      <c r="AH92" s="41">
        <f t="shared" si="54"/>
        <v>0</v>
      </c>
      <c r="AI92" s="41">
        <f t="shared" si="55"/>
        <v>0</v>
      </c>
      <c r="AJ92" s="41">
        <f t="shared" si="56"/>
        <v>0</v>
      </c>
      <c r="AK92" s="42">
        <v>0</v>
      </c>
      <c r="AL92" s="41">
        <v>2.9999999329447746E-2</v>
      </c>
      <c r="AM92" s="41">
        <v>9659818.9199999999</v>
      </c>
      <c r="AN92" s="64">
        <f t="shared" si="57"/>
        <v>9659818.9499999993</v>
      </c>
      <c r="AO92" s="73">
        <f t="shared" si="58"/>
        <v>0</v>
      </c>
      <c r="AP92" s="73">
        <f t="shared" si="59"/>
        <v>0</v>
      </c>
    </row>
    <row r="93" spans="1:42" x14ac:dyDescent="0.25">
      <c r="B93" s="44" t="s">
        <v>436</v>
      </c>
      <c r="C93" s="45" t="s">
        <v>323</v>
      </c>
      <c r="D93" s="45" t="s">
        <v>324</v>
      </c>
      <c r="E93" s="45">
        <v>14</v>
      </c>
      <c r="F93" s="45" t="s">
        <v>395</v>
      </c>
      <c r="G93" s="33">
        <v>0.76567499999999999</v>
      </c>
      <c r="H93" s="34">
        <v>2388</v>
      </c>
      <c r="I93" s="35" t="s">
        <v>362</v>
      </c>
      <c r="J93" s="36">
        <v>-4.849145</v>
      </c>
      <c r="K93" s="36">
        <v>2.4210799999999999</v>
      </c>
      <c r="L93" s="53">
        <f t="shared" si="44"/>
        <v>-11579758.26</v>
      </c>
      <c r="M93" s="53">
        <f t="shared" si="45"/>
        <v>17361297.299999997</v>
      </c>
      <c r="N93" s="53">
        <f t="shared" si="46"/>
        <v>5781539.0399999972</v>
      </c>
      <c r="O93" s="36">
        <v>0</v>
      </c>
      <c r="P93" s="36">
        <v>0.43671900000000002</v>
      </c>
      <c r="Q93" s="36">
        <f t="shared" si="47"/>
        <v>0</v>
      </c>
      <c r="R93" s="36">
        <f t="shared" si="48"/>
        <v>0.43671900000000002</v>
      </c>
      <c r="S93" s="36">
        <f>IF(C93&lt;&gt;"Offshore",0,IFERROR(VLOOKUP(D93,'Local Tariffs'!$A$4:$B$98,2,0),VLOOKUP(A93,'Local Tariffs'!$A$4:$B$98,2,0)))</f>
        <v>0</v>
      </c>
      <c r="T93" s="36">
        <f>IF(C93&lt;&gt;"Offshore",0,VLOOKUP(I93,'Local Tariffs'!$E$4:$F$38,2,0))</f>
        <v>0</v>
      </c>
      <c r="U93" s="53">
        <f t="shared" si="49"/>
        <v>1042884.9720000001</v>
      </c>
      <c r="V93" s="53">
        <f t="shared" si="50"/>
        <v>0</v>
      </c>
      <c r="W93" s="36">
        <v>2.857799</v>
      </c>
      <c r="X93" s="37">
        <v>6824424.0099999998</v>
      </c>
      <c r="Y93" s="37">
        <v>0.51999999955296516</v>
      </c>
      <c r="Z93" s="38">
        <v>0</v>
      </c>
      <c r="AA93" s="39">
        <v>0</v>
      </c>
      <c r="AB93" s="40">
        <v>0</v>
      </c>
      <c r="AC93" s="41">
        <v>0</v>
      </c>
      <c r="AD93" s="41">
        <v>0</v>
      </c>
      <c r="AE93" s="58">
        <f t="shared" si="51"/>
        <v>0</v>
      </c>
      <c r="AF93" s="58">
        <f t="shared" si="52"/>
        <v>0</v>
      </c>
      <c r="AG93" s="58">
        <f t="shared" si="53"/>
        <v>0</v>
      </c>
      <c r="AH93" s="41">
        <f t="shared" si="54"/>
        <v>0</v>
      </c>
      <c r="AI93" s="41">
        <f t="shared" si="55"/>
        <v>0</v>
      </c>
      <c r="AJ93" s="41">
        <f t="shared" si="56"/>
        <v>0</v>
      </c>
      <c r="AK93" s="42">
        <v>0</v>
      </c>
      <c r="AL93" s="41">
        <v>0.51999999955296516</v>
      </c>
      <c r="AM93" s="41">
        <v>6824423.4900000002</v>
      </c>
      <c r="AN93" s="64">
        <f t="shared" si="57"/>
        <v>6824424.0099999998</v>
      </c>
      <c r="AO93" s="73">
        <f t="shared" si="58"/>
        <v>0</v>
      </c>
      <c r="AP93" s="73">
        <f t="shared" si="59"/>
        <v>0</v>
      </c>
    </row>
    <row r="94" spans="1:42" x14ac:dyDescent="0.25">
      <c r="B94" s="44" t="s">
        <v>437</v>
      </c>
      <c r="C94" s="45" t="s">
        <v>323</v>
      </c>
      <c r="D94" s="45" t="s">
        <v>324</v>
      </c>
      <c r="E94" s="45">
        <v>26</v>
      </c>
      <c r="F94" s="45" t="s">
        <v>395</v>
      </c>
      <c r="G94" s="33">
        <v>0.73737900000000001</v>
      </c>
      <c r="H94" s="34">
        <v>1061</v>
      </c>
      <c r="I94" s="35" t="s">
        <v>356</v>
      </c>
      <c r="J94" s="36">
        <v>-4.849145</v>
      </c>
      <c r="K94" s="36">
        <v>-9.0175450000000001</v>
      </c>
      <c r="L94" s="53">
        <f t="shared" si="44"/>
        <v>-5144942.8450000007</v>
      </c>
      <c r="M94" s="53">
        <f t="shared" si="45"/>
        <v>-4422672.4000000004</v>
      </c>
      <c r="N94" s="53">
        <f t="shared" si="46"/>
        <v>-9567615.245000001</v>
      </c>
      <c r="O94" s="36">
        <v>0</v>
      </c>
      <c r="P94" s="36">
        <v>0.201402</v>
      </c>
      <c r="Q94" s="36">
        <f t="shared" si="47"/>
        <v>0</v>
      </c>
      <c r="R94" s="36">
        <f t="shared" si="48"/>
        <v>0.201402</v>
      </c>
      <c r="S94" s="36">
        <f>IF(C94&lt;&gt;"Offshore",0,IFERROR(VLOOKUP(D94,'Local Tariffs'!$A$4:$B$98,2,0),VLOOKUP(A94,'Local Tariffs'!$A$4:$B$98,2,0)))</f>
        <v>0</v>
      </c>
      <c r="T94" s="36">
        <f>IF(C94&lt;&gt;"Offshore",0,VLOOKUP(I94,'Local Tariffs'!$E$4:$F$38,2,0))</f>
        <v>0</v>
      </c>
      <c r="U94" s="53">
        <f t="shared" si="49"/>
        <v>213687.522</v>
      </c>
      <c r="V94" s="53">
        <f t="shared" si="50"/>
        <v>0</v>
      </c>
      <c r="W94" s="36">
        <v>-8.8161430000000003</v>
      </c>
      <c r="X94" s="37">
        <v>-9353927.7200000007</v>
      </c>
      <c r="Y94" s="37">
        <v>0.36999999731779099</v>
      </c>
      <c r="Z94" s="38">
        <v>-9.0175450000000001</v>
      </c>
      <c r="AA94" s="39">
        <v>-9567615.25</v>
      </c>
      <c r="AB94" s="40">
        <v>1.6093333333333335</v>
      </c>
      <c r="AC94" s="41">
        <v>-14512.24</v>
      </c>
      <c r="AD94" s="41">
        <v>9553103.0099999998</v>
      </c>
      <c r="AE94" s="58">
        <f t="shared" si="51"/>
        <v>-9.0175450000000001</v>
      </c>
      <c r="AF94" s="58">
        <f t="shared" si="52"/>
        <v>0</v>
      </c>
      <c r="AG94" s="58">
        <f t="shared" si="53"/>
        <v>0</v>
      </c>
      <c r="AH94" s="41">
        <f t="shared" si="54"/>
        <v>9553103.009246666</v>
      </c>
      <c r="AI94" s="41">
        <f t="shared" si="55"/>
        <v>0</v>
      </c>
      <c r="AJ94" s="41">
        <f t="shared" si="56"/>
        <v>0</v>
      </c>
      <c r="AK94" s="42">
        <v>1159528.8799999999</v>
      </c>
      <c r="AL94" s="41">
        <v>10712632.259999998</v>
      </c>
      <c r="AM94" s="41">
        <v>-9353928.089999998</v>
      </c>
      <c r="AN94" s="64">
        <f t="shared" si="57"/>
        <v>1358704.17</v>
      </c>
      <c r="AO94" s="73">
        <f t="shared" si="58"/>
        <v>5137138.9543133341</v>
      </c>
      <c r="AP94" s="73">
        <f t="shared" si="59"/>
        <v>4415964.0549333338</v>
      </c>
    </row>
    <row r="95" spans="1:42" x14ac:dyDescent="0.25">
      <c r="B95" s="44" t="s">
        <v>438</v>
      </c>
      <c r="C95" s="45" t="s">
        <v>318</v>
      </c>
      <c r="D95" s="32" t="s">
        <v>439</v>
      </c>
      <c r="E95" s="45">
        <v>15</v>
      </c>
      <c r="F95" s="45" t="s">
        <v>320</v>
      </c>
      <c r="G95" s="33">
        <v>0.48320400000000002</v>
      </c>
      <c r="H95" s="34">
        <v>400</v>
      </c>
      <c r="I95" s="35" t="s">
        <v>440</v>
      </c>
      <c r="J95" s="36">
        <v>-4.849145</v>
      </c>
      <c r="K95" s="36">
        <v>-4.0260670000000003</v>
      </c>
      <c r="L95" s="53">
        <f t="shared" si="44"/>
        <v>-1939658</v>
      </c>
      <c r="M95" s="53">
        <f t="shared" si="45"/>
        <v>329231.1999999999</v>
      </c>
      <c r="N95" s="53">
        <f t="shared" si="46"/>
        <v>-1610426.8</v>
      </c>
      <c r="O95" s="36">
        <v>2.6903009999999998</v>
      </c>
      <c r="P95" s="36">
        <v>0.35425499999999999</v>
      </c>
      <c r="Q95" s="36">
        <f t="shared" si="47"/>
        <v>0</v>
      </c>
      <c r="R95" s="36">
        <f t="shared" si="48"/>
        <v>0</v>
      </c>
      <c r="S95" s="36">
        <f>IF(C95&lt;&gt;"Offshore",0,IFERROR(VLOOKUP(D95,'Local Tariffs'!$A$4:$B$98,2,0),VLOOKUP(A95,'Local Tariffs'!$A$4:$B$98,2,0)))</f>
        <v>2.6903009999999998</v>
      </c>
      <c r="T95" s="36">
        <f>IF(C95&lt;&gt;"Offshore",0,VLOOKUP(I95,'Local Tariffs'!$E$4:$F$38,2,0))</f>
        <v>0.35425499999999999</v>
      </c>
      <c r="U95" s="53">
        <f t="shared" si="49"/>
        <v>0</v>
      </c>
      <c r="V95" s="53">
        <f t="shared" si="50"/>
        <v>1217822.3999999999</v>
      </c>
      <c r="W95" s="36">
        <v>-0.98151100000000047</v>
      </c>
      <c r="X95" s="37">
        <v>-392604.4</v>
      </c>
      <c r="Y95" s="37">
        <v>1217822.25</v>
      </c>
      <c r="Z95" s="38">
        <v>-4.0260670000000003</v>
      </c>
      <c r="AA95" s="39">
        <v>-1610426.8</v>
      </c>
      <c r="AB95" s="40">
        <v>361.19066666666663</v>
      </c>
      <c r="AC95" s="41">
        <v>-1454177.82</v>
      </c>
      <c r="AD95" s="41">
        <v>156248.97999999998</v>
      </c>
      <c r="AE95" s="58">
        <f t="shared" si="51"/>
        <v>-4.0260670000000003</v>
      </c>
      <c r="AF95" s="58">
        <f t="shared" si="52"/>
        <v>0</v>
      </c>
      <c r="AG95" s="58">
        <f t="shared" si="53"/>
        <v>0</v>
      </c>
      <c r="AH95" s="41">
        <f t="shared" si="54"/>
        <v>156248.97622533352</v>
      </c>
      <c r="AI95" s="41">
        <f t="shared" si="55"/>
        <v>0</v>
      </c>
      <c r="AJ95" s="41">
        <f t="shared" si="56"/>
        <v>0</v>
      </c>
      <c r="AK95" s="42">
        <v>0</v>
      </c>
      <c r="AL95" s="41">
        <v>1374071.23</v>
      </c>
      <c r="AM95" s="41">
        <v>-1610426.65</v>
      </c>
      <c r="AN95" s="64">
        <f t="shared" si="57"/>
        <v>-236355.41999999993</v>
      </c>
      <c r="AO95" s="73">
        <f t="shared" si="58"/>
        <v>156248.97622533352</v>
      </c>
      <c r="AP95" s="73">
        <f t="shared" si="59"/>
        <v>0</v>
      </c>
    </row>
    <row r="96" spans="1:42" x14ac:dyDescent="0.25">
      <c r="B96" s="44" t="s">
        <v>441</v>
      </c>
      <c r="C96" s="45" t="s">
        <v>318</v>
      </c>
      <c r="D96" s="32" t="s">
        <v>439</v>
      </c>
      <c r="E96" s="45">
        <v>15</v>
      </c>
      <c r="F96" s="45" t="s">
        <v>320</v>
      </c>
      <c r="G96" s="33">
        <v>0.45377899999999999</v>
      </c>
      <c r="H96" s="34">
        <v>400</v>
      </c>
      <c r="I96" s="35" t="s">
        <v>440</v>
      </c>
      <c r="J96" s="36">
        <v>-4.849145</v>
      </c>
      <c r="K96" s="36">
        <v>-4.0680569999999996</v>
      </c>
      <c r="L96" s="53">
        <f t="shared" si="44"/>
        <v>-1939658</v>
      </c>
      <c r="M96" s="53">
        <f t="shared" si="45"/>
        <v>312435.20000000019</v>
      </c>
      <c r="N96" s="53">
        <f t="shared" si="46"/>
        <v>-1627222.7999999998</v>
      </c>
      <c r="O96" s="36">
        <v>2.6903009999999998</v>
      </c>
      <c r="P96" s="36">
        <v>0.35425499999999999</v>
      </c>
      <c r="Q96" s="36">
        <f t="shared" si="47"/>
        <v>0</v>
      </c>
      <c r="R96" s="36">
        <f t="shared" si="48"/>
        <v>0</v>
      </c>
      <c r="S96" s="36">
        <f>IF(C96&lt;&gt;"Offshore",0,IFERROR(VLOOKUP(D96,'Local Tariffs'!$A$4:$B$98,2,0),VLOOKUP(A96,'Local Tariffs'!$A$4:$B$98,2,0)))</f>
        <v>2.6903009999999998</v>
      </c>
      <c r="T96" s="36">
        <f>IF(C96&lt;&gt;"Offshore",0,VLOOKUP(I96,'Local Tariffs'!$E$4:$F$38,2,0))</f>
        <v>0.35425499999999999</v>
      </c>
      <c r="U96" s="53">
        <f t="shared" si="49"/>
        <v>0</v>
      </c>
      <c r="V96" s="53">
        <f t="shared" si="50"/>
        <v>1217822.3999999999</v>
      </c>
      <c r="W96" s="36">
        <v>-1.0235009999999998</v>
      </c>
      <c r="X96" s="37">
        <v>-409400.4</v>
      </c>
      <c r="Y96" s="37">
        <v>1082220.6499999999</v>
      </c>
      <c r="Z96" s="38">
        <v>-4.0680569999999996</v>
      </c>
      <c r="AA96" s="39">
        <v>-1627222.8</v>
      </c>
      <c r="AB96" s="40">
        <v>397.834</v>
      </c>
      <c r="AC96" s="41">
        <v>-1618411.39</v>
      </c>
      <c r="AD96" s="41">
        <v>8811.410000000149</v>
      </c>
      <c r="AE96" s="58">
        <f t="shared" si="51"/>
        <v>-4.0680569999999996</v>
      </c>
      <c r="AF96" s="58">
        <f t="shared" si="52"/>
        <v>0</v>
      </c>
      <c r="AG96" s="58">
        <f t="shared" si="53"/>
        <v>0</v>
      </c>
      <c r="AH96" s="41">
        <f t="shared" si="54"/>
        <v>8811.4114619999855</v>
      </c>
      <c r="AI96" s="41">
        <f t="shared" si="55"/>
        <v>0</v>
      </c>
      <c r="AJ96" s="41">
        <f t="shared" si="56"/>
        <v>0</v>
      </c>
      <c r="AK96" s="42">
        <v>0</v>
      </c>
      <c r="AL96" s="41">
        <v>1091032.06</v>
      </c>
      <c r="AM96" s="41">
        <v>-1491621.0499999998</v>
      </c>
      <c r="AN96" s="64">
        <f t="shared" si="57"/>
        <v>-400588.98999999976</v>
      </c>
      <c r="AO96" s="73">
        <f t="shared" si="58"/>
        <v>8811.4114619999855</v>
      </c>
      <c r="AP96" s="73">
        <f t="shared" si="59"/>
        <v>0</v>
      </c>
    </row>
    <row r="97" spans="2:42" x14ac:dyDescent="0.25">
      <c r="B97" s="44" t="s">
        <v>442</v>
      </c>
      <c r="C97" s="45" t="s">
        <v>318</v>
      </c>
      <c r="D97" s="32" t="s">
        <v>439</v>
      </c>
      <c r="E97" s="45">
        <v>15</v>
      </c>
      <c r="F97" s="45" t="s">
        <v>320</v>
      </c>
      <c r="G97" s="33">
        <v>0.48320400000000002</v>
      </c>
      <c r="H97" s="34">
        <v>400</v>
      </c>
      <c r="I97" s="35" t="s">
        <v>440</v>
      </c>
      <c r="J97" s="36">
        <v>-4.849145</v>
      </c>
      <c r="K97" s="36">
        <v>-4.0260670000000003</v>
      </c>
      <c r="L97" s="53">
        <f t="shared" si="44"/>
        <v>-1939658</v>
      </c>
      <c r="M97" s="53">
        <f t="shared" si="45"/>
        <v>329231.1999999999</v>
      </c>
      <c r="N97" s="53">
        <f t="shared" si="46"/>
        <v>-1610426.8</v>
      </c>
      <c r="O97" s="36">
        <v>2.6903009999999998</v>
      </c>
      <c r="P97" s="36">
        <v>0.35425499999999999</v>
      </c>
      <c r="Q97" s="36">
        <f t="shared" si="47"/>
        <v>0</v>
      </c>
      <c r="R97" s="36">
        <f t="shared" si="48"/>
        <v>0</v>
      </c>
      <c r="S97" s="36">
        <f>IF(C97&lt;&gt;"Offshore",0,IFERROR(VLOOKUP(D97,'Local Tariffs'!$A$4:$B$98,2,0),VLOOKUP(A97,'Local Tariffs'!$A$4:$B$98,2,0)))</f>
        <v>2.6903009999999998</v>
      </c>
      <c r="T97" s="36">
        <f>IF(C97&lt;&gt;"Offshore",0,VLOOKUP(I97,'Local Tariffs'!$E$4:$F$38,2,0))</f>
        <v>0.35425499999999999</v>
      </c>
      <c r="U97" s="53">
        <f t="shared" si="49"/>
        <v>0</v>
      </c>
      <c r="V97" s="53">
        <f t="shared" si="50"/>
        <v>1217822.3999999999</v>
      </c>
      <c r="W97" s="36">
        <v>-0.98151100000000047</v>
      </c>
      <c r="X97" s="37">
        <v>-392604.4</v>
      </c>
      <c r="Y97" s="37">
        <v>1217822.25</v>
      </c>
      <c r="Z97" s="38">
        <v>-4.0260670000000003</v>
      </c>
      <c r="AA97" s="39">
        <v>-1610426.8</v>
      </c>
      <c r="AB97" s="40">
        <v>396.66333333333336</v>
      </c>
      <c r="AC97" s="41">
        <v>-1596993.16</v>
      </c>
      <c r="AD97" s="41">
        <v>13433.64000000013</v>
      </c>
      <c r="AE97" s="58">
        <f t="shared" si="51"/>
        <v>-4.0260670000000003</v>
      </c>
      <c r="AF97" s="58">
        <f t="shared" si="52"/>
        <v>0</v>
      </c>
      <c r="AG97" s="58">
        <f t="shared" si="53"/>
        <v>0</v>
      </c>
      <c r="AH97" s="41">
        <f t="shared" si="54"/>
        <v>13433.643556666579</v>
      </c>
      <c r="AI97" s="41">
        <f t="shared" si="55"/>
        <v>0</v>
      </c>
      <c r="AJ97" s="41">
        <f t="shared" si="56"/>
        <v>0</v>
      </c>
      <c r="AK97" s="42">
        <v>0</v>
      </c>
      <c r="AL97" s="41">
        <v>1231255.8900000001</v>
      </c>
      <c r="AM97" s="41">
        <v>-1610426.65</v>
      </c>
      <c r="AN97" s="64">
        <f t="shared" si="57"/>
        <v>-379170.75999999978</v>
      </c>
      <c r="AO97" s="73">
        <f t="shared" si="58"/>
        <v>13433.643556666579</v>
      </c>
      <c r="AP97" s="73">
        <f t="shared" si="59"/>
        <v>0</v>
      </c>
    </row>
    <row r="98" spans="2:42" x14ac:dyDescent="0.25">
      <c r="B98" s="44" t="s">
        <v>443</v>
      </c>
      <c r="C98" s="45" t="s">
        <v>318</v>
      </c>
      <c r="D98" s="45" t="s">
        <v>443</v>
      </c>
      <c r="E98" s="45">
        <v>15</v>
      </c>
      <c r="F98" s="45" t="s">
        <v>320</v>
      </c>
      <c r="G98" s="33">
        <v>0.59224600000000005</v>
      </c>
      <c r="H98" s="34">
        <v>220</v>
      </c>
      <c r="I98" s="35" t="s">
        <v>444</v>
      </c>
      <c r="J98" s="36">
        <v>-4.849145</v>
      </c>
      <c r="K98" s="36">
        <v>-3.8704589999999999</v>
      </c>
      <c r="L98" s="53">
        <f t="shared" si="44"/>
        <v>-1066811.8999999999</v>
      </c>
      <c r="M98" s="53">
        <f t="shared" si="45"/>
        <v>215310.92000000004</v>
      </c>
      <c r="N98" s="53">
        <f t="shared" si="46"/>
        <v>-851500.97999999986</v>
      </c>
      <c r="O98" s="36">
        <v>33.857734999999998</v>
      </c>
      <c r="P98" s="36">
        <v>15.005644</v>
      </c>
      <c r="Q98" s="36">
        <f t="shared" si="47"/>
        <v>0</v>
      </c>
      <c r="R98" s="36">
        <f t="shared" si="48"/>
        <v>0</v>
      </c>
      <c r="S98" s="36">
        <f>IF(C98&lt;&gt;"Offshore",0,IFERROR(VLOOKUP(D98,'Local Tariffs'!$A$4:$B$98,2,0),VLOOKUP(A98,'Local Tariffs'!$A$4:$B$98,2,0)))</f>
        <v>33.857734999999998</v>
      </c>
      <c r="T98" s="36">
        <f>IF(C98&lt;&gt;"Offshore",0,VLOOKUP(I98,'Local Tariffs'!$E$4:$F$38,2,0))</f>
        <v>15.005644</v>
      </c>
      <c r="U98" s="53">
        <f t="shared" si="49"/>
        <v>0</v>
      </c>
      <c r="V98" s="53">
        <f t="shared" si="50"/>
        <v>10749943.379999999</v>
      </c>
      <c r="W98" s="36">
        <v>44.992919999999998</v>
      </c>
      <c r="X98" s="37">
        <v>9898442.4000000004</v>
      </c>
      <c r="Y98" s="37">
        <v>-1.9999999552965164E-2</v>
      </c>
      <c r="Z98" s="38">
        <v>-3.8704589999999999</v>
      </c>
      <c r="AA98" s="39">
        <v>-851500.98</v>
      </c>
      <c r="AB98" s="40">
        <v>216.79666666666665</v>
      </c>
      <c r="AC98" s="41">
        <v>-839102.61</v>
      </c>
      <c r="AD98" s="41">
        <v>12398.369999999995</v>
      </c>
      <c r="AE98" s="58">
        <f t="shared" si="51"/>
        <v>-3.8704589999999999</v>
      </c>
      <c r="AF98" s="58">
        <f t="shared" si="52"/>
        <v>0</v>
      </c>
      <c r="AG98" s="58">
        <f t="shared" si="53"/>
        <v>0</v>
      </c>
      <c r="AH98" s="41">
        <f t="shared" si="54"/>
        <v>12398.370330000054</v>
      </c>
      <c r="AI98" s="41">
        <f t="shared" si="55"/>
        <v>0</v>
      </c>
      <c r="AJ98" s="41">
        <f t="shared" si="56"/>
        <v>0</v>
      </c>
      <c r="AK98" s="42">
        <v>0</v>
      </c>
      <c r="AL98" s="41">
        <v>12398.350000000442</v>
      </c>
      <c r="AM98" s="41">
        <v>9898442.4199999999</v>
      </c>
      <c r="AN98" s="64">
        <f t="shared" si="57"/>
        <v>9910840.7699999996</v>
      </c>
      <c r="AO98" s="73">
        <f t="shared" si="58"/>
        <v>12398.370330000054</v>
      </c>
      <c r="AP98" s="73">
        <f t="shared" si="59"/>
        <v>0</v>
      </c>
    </row>
    <row r="99" spans="2:42" x14ac:dyDescent="0.25">
      <c r="B99" s="44" t="s">
        <v>445</v>
      </c>
      <c r="C99" s="45" t="s">
        <v>323</v>
      </c>
      <c r="D99" s="45" t="s">
        <v>324</v>
      </c>
      <c r="E99" s="45">
        <v>10</v>
      </c>
      <c r="F99" s="45" t="s">
        <v>395</v>
      </c>
      <c r="G99" s="33">
        <v>0.80393300000000001</v>
      </c>
      <c r="H99" s="34">
        <v>1000</v>
      </c>
      <c r="I99" s="35" t="s">
        <v>446</v>
      </c>
      <c r="J99" s="36">
        <v>-4.849145</v>
      </c>
      <c r="K99" s="36">
        <v>19.350991</v>
      </c>
      <c r="L99" s="53">
        <f t="shared" si="44"/>
        <v>-4849145</v>
      </c>
      <c r="M99" s="53">
        <f t="shared" si="45"/>
        <v>24200136.000000004</v>
      </c>
      <c r="N99" s="53">
        <f t="shared" si="46"/>
        <v>19350991.000000004</v>
      </c>
      <c r="O99" s="36">
        <v>0</v>
      </c>
      <c r="P99" s="36">
        <v>8.3748000000000003E-2</v>
      </c>
      <c r="Q99" s="36">
        <f t="shared" si="47"/>
        <v>0</v>
      </c>
      <c r="R99" s="36">
        <f t="shared" si="48"/>
        <v>8.3748000000000003E-2</v>
      </c>
      <c r="S99" s="36">
        <f>IF(C99&lt;&gt;"Offshore",0,IFERROR(VLOOKUP(D99,'Local Tariffs'!$A$4:$B$98,2,0),VLOOKUP(A99,'Local Tariffs'!$A$4:$B$98,2,0)))</f>
        <v>0</v>
      </c>
      <c r="T99" s="36">
        <f>IF(C99&lt;&gt;"Offshore",0,VLOOKUP(I99,'Local Tariffs'!$E$4:$F$38,2,0))</f>
        <v>0</v>
      </c>
      <c r="U99" s="53">
        <f t="shared" si="49"/>
        <v>83748</v>
      </c>
      <c r="V99" s="53">
        <f t="shared" si="50"/>
        <v>0</v>
      </c>
      <c r="W99" s="36">
        <v>19.434739</v>
      </c>
      <c r="X99" s="37">
        <v>19434739</v>
      </c>
      <c r="Y99" s="37">
        <v>-0.12000000104308128</v>
      </c>
      <c r="Z99" s="38">
        <v>0</v>
      </c>
      <c r="AA99" s="39">
        <v>0</v>
      </c>
      <c r="AB99" s="40">
        <v>0</v>
      </c>
      <c r="AC99" s="41">
        <v>0</v>
      </c>
      <c r="AD99" s="41">
        <v>0</v>
      </c>
      <c r="AE99" s="58">
        <f t="shared" si="51"/>
        <v>0</v>
      </c>
      <c r="AF99" s="58">
        <f t="shared" si="52"/>
        <v>0</v>
      </c>
      <c r="AG99" s="58">
        <f t="shared" si="53"/>
        <v>0</v>
      </c>
      <c r="AH99" s="41">
        <f t="shared" si="54"/>
        <v>0</v>
      </c>
      <c r="AI99" s="41">
        <f t="shared" si="55"/>
        <v>0</v>
      </c>
      <c r="AJ99" s="41">
        <f t="shared" si="56"/>
        <v>0</v>
      </c>
      <c r="AK99" s="42">
        <v>0</v>
      </c>
      <c r="AL99" s="41">
        <v>-0.12000000104308128</v>
      </c>
      <c r="AM99" s="41">
        <v>19434739.120000001</v>
      </c>
      <c r="AN99" s="64">
        <f t="shared" si="57"/>
        <v>19434739</v>
      </c>
      <c r="AO99" s="73">
        <f t="shared" si="58"/>
        <v>0</v>
      </c>
      <c r="AP99" s="73">
        <f t="shared" si="59"/>
        <v>0</v>
      </c>
    </row>
    <row r="100" spans="2:42" x14ac:dyDescent="0.25">
      <c r="B100" s="44" t="s">
        <v>447</v>
      </c>
      <c r="C100" s="45" t="s">
        <v>323</v>
      </c>
      <c r="D100" s="45" t="s">
        <v>324</v>
      </c>
      <c r="E100" s="45">
        <v>15</v>
      </c>
      <c r="F100" s="45" t="s">
        <v>340</v>
      </c>
      <c r="G100" s="33">
        <v>0.68580399999999997</v>
      </c>
      <c r="H100" s="34">
        <v>1218</v>
      </c>
      <c r="I100" s="35" t="s">
        <v>356</v>
      </c>
      <c r="J100" s="36">
        <v>-4.849145</v>
      </c>
      <c r="K100" s="36">
        <v>0.85320397910000079</v>
      </c>
      <c r="L100" s="53">
        <f t="shared" si="44"/>
        <v>-5906258.6099999994</v>
      </c>
      <c r="M100" s="53">
        <f t="shared" si="45"/>
        <v>6945461.056543801</v>
      </c>
      <c r="N100" s="53">
        <f t="shared" si="46"/>
        <v>1039202.4465438016</v>
      </c>
      <c r="O100" s="36">
        <v>0</v>
      </c>
      <c r="P100" s="36">
        <v>0.201402</v>
      </c>
      <c r="Q100" s="36">
        <f t="shared" si="47"/>
        <v>0</v>
      </c>
      <c r="R100" s="36">
        <f t="shared" si="48"/>
        <v>0.201402</v>
      </c>
      <c r="S100" s="36">
        <f>IF(C100&lt;&gt;"Offshore",0,IFERROR(VLOOKUP(D100,'Local Tariffs'!$A$4:$B$98,2,0),VLOOKUP(A100,'Local Tariffs'!$A$4:$B$98,2,0)))</f>
        <v>0</v>
      </c>
      <c r="T100" s="36">
        <f>IF(C100&lt;&gt;"Offshore",0,VLOOKUP(I100,'Local Tariffs'!$E$4:$F$38,2,0))</f>
        <v>0</v>
      </c>
      <c r="U100" s="53">
        <f t="shared" si="49"/>
        <v>245307.636</v>
      </c>
      <c r="V100" s="53">
        <f t="shared" si="50"/>
        <v>0</v>
      </c>
      <c r="W100" s="36">
        <v>1.0546059791000009</v>
      </c>
      <c r="X100" s="37">
        <v>1284510.08</v>
      </c>
      <c r="Y100" s="37">
        <v>-0.59000000031664968</v>
      </c>
      <c r="Z100" s="38">
        <v>0</v>
      </c>
      <c r="AA100" s="39">
        <v>0</v>
      </c>
      <c r="AB100" s="40">
        <v>0</v>
      </c>
      <c r="AC100" s="41">
        <v>0</v>
      </c>
      <c r="AD100" s="41">
        <v>0</v>
      </c>
      <c r="AE100" s="58">
        <f t="shared" si="51"/>
        <v>0</v>
      </c>
      <c r="AF100" s="58">
        <f t="shared" si="52"/>
        <v>0</v>
      </c>
      <c r="AG100" s="58">
        <f t="shared" si="53"/>
        <v>0</v>
      </c>
      <c r="AH100" s="41">
        <f t="shared" si="54"/>
        <v>0</v>
      </c>
      <c r="AI100" s="41">
        <f t="shared" si="55"/>
        <v>0</v>
      </c>
      <c r="AJ100" s="41">
        <f t="shared" si="56"/>
        <v>0</v>
      </c>
      <c r="AK100" s="42">
        <v>0</v>
      </c>
      <c r="AL100" s="41">
        <v>-0.59000000031664968</v>
      </c>
      <c r="AM100" s="41">
        <v>1284510.6700000004</v>
      </c>
      <c r="AN100" s="64">
        <f t="shared" si="57"/>
        <v>1284510.08</v>
      </c>
      <c r="AO100" s="73">
        <f t="shared" si="58"/>
        <v>0</v>
      </c>
      <c r="AP100" s="73">
        <f t="shared" si="59"/>
        <v>0</v>
      </c>
    </row>
    <row r="101" spans="2:42" x14ac:dyDescent="0.25">
      <c r="B101" s="44" t="s">
        <v>448</v>
      </c>
      <c r="C101" s="45" t="s">
        <v>323</v>
      </c>
      <c r="D101" s="45" t="s">
        <v>324</v>
      </c>
      <c r="E101" s="45">
        <v>27</v>
      </c>
      <c r="F101" s="45" t="s">
        <v>372</v>
      </c>
      <c r="G101" s="33">
        <v>7.6999999999999996E-4</v>
      </c>
      <c r="H101" s="34">
        <v>140</v>
      </c>
      <c r="I101" s="35" t="s">
        <v>446</v>
      </c>
      <c r="J101" s="36">
        <v>-4.849145</v>
      </c>
      <c r="K101" s="36">
        <v>-5.1151479999999996</v>
      </c>
      <c r="L101" s="53">
        <f t="shared" si="44"/>
        <v>-678880.3</v>
      </c>
      <c r="M101" s="53">
        <f t="shared" si="45"/>
        <v>-37240.419999999933</v>
      </c>
      <c r="N101" s="53">
        <f t="shared" si="46"/>
        <v>-716120.72</v>
      </c>
      <c r="O101" s="36">
        <v>0</v>
      </c>
      <c r="P101" s="36">
        <v>8.3748000000000003E-2</v>
      </c>
      <c r="Q101" s="36">
        <f t="shared" si="47"/>
        <v>0</v>
      </c>
      <c r="R101" s="36">
        <f t="shared" si="48"/>
        <v>8.3748000000000003E-2</v>
      </c>
      <c r="S101" s="36">
        <f>IF(C101&lt;&gt;"Offshore",0,IFERROR(VLOOKUP(D101,'Local Tariffs'!$A$4:$B$98,2,0),VLOOKUP(A101,'Local Tariffs'!$A$4:$B$98,2,0)))</f>
        <v>0</v>
      </c>
      <c r="T101" s="36">
        <f>IF(C101&lt;&gt;"Offshore",0,VLOOKUP(I101,'Local Tariffs'!$E$4:$F$38,2,0))</f>
        <v>0</v>
      </c>
      <c r="U101" s="53">
        <f t="shared" si="49"/>
        <v>11724.72</v>
      </c>
      <c r="V101" s="53">
        <f t="shared" si="50"/>
        <v>0</v>
      </c>
      <c r="W101" s="36">
        <v>-5.0313999999999997</v>
      </c>
      <c r="X101" s="37">
        <v>-704396</v>
      </c>
      <c r="Y101" s="37">
        <v>-2.0000000018626451E-2</v>
      </c>
      <c r="Z101" s="38">
        <v>-5.1151479999999996</v>
      </c>
      <c r="AA101" s="39">
        <v>-716120.72</v>
      </c>
      <c r="AB101" s="40">
        <v>139.16</v>
      </c>
      <c r="AC101" s="41">
        <v>-711824</v>
      </c>
      <c r="AD101" s="41">
        <v>4296.7199999999721</v>
      </c>
      <c r="AE101" s="58">
        <f t="shared" si="51"/>
        <v>-5.1151479999999996</v>
      </c>
      <c r="AF101" s="58">
        <f t="shared" si="52"/>
        <v>0</v>
      </c>
      <c r="AG101" s="58">
        <f t="shared" si="53"/>
        <v>0</v>
      </c>
      <c r="AH101" s="41">
        <f t="shared" si="54"/>
        <v>4296.7243200000166</v>
      </c>
      <c r="AI101" s="41">
        <f t="shared" si="55"/>
        <v>0</v>
      </c>
      <c r="AJ101" s="41">
        <f t="shared" si="56"/>
        <v>0</v>
      </c>
      <c r="AK101" s="42">
        <v>50177.95</v>
      </c>
      <c r="AL101" s="41">
        <v>54474.649999999951</v>
      </c>
      <c r="AM101" s="41">
        <v>-704395.98</v>
      </c>
      <c r="AN101" s="64">
        <f t="shared" si="57"/>
        <v>-649921.33000000007</v>
      </c>
      <c r="AO101" s="73">
        <f t="shared" si="58"/>
        <v>4073.2818000000161</v>
      </c>
      <c r="AP101" s="73">
        <f t="shared" si="59"/>
        <v>223.44252000000054</v>
      </c>
    </row>
    <row r="102" spans="2:42" x14ac:dyDescent="0.25">
      <c r="B102" s="44" t="s">
        <v>449</v>
      </c>
      <c r="C102" s="45" t="s">
        <v>323</v>
      </c>
      <c r="D102" s="45" t="s">
        <v>449</v>
      </c>
      <c r="E102" s="45">
        <v>3</v>
      </c>
      <c r="F102" s="45" t="s">
        <v>333</v>
      </c>
      <c r="G102" s="33">
        <v>0.60442600000000002</v>
      </c>
      <c r="H102" s="34">
        <v>20</v>
      </c>
      <c r="I102" s="35" t="s">
        <v>321</v>
      </c>
      <c r="J102" s="36">
        <v>-4.849145</v>
      </c>
      <c r="K102" s="36">
        <v>12.320660000000002</v>
      </c>
      <c r="L102" s="53">
        <f t="shared" si="44"/>
        <v>-96982.9</v>
      </c>
      <c r="M102" s="53">
        <f t="shared" si="45"/>
        <v>343396.10000000003</v>
      </c>
      <c r="N102" s="53">
        <f t="shared" si="46"/>
        <v>246413.20000000004</v>
      </c>
      <c r="O102" s="36">
        <v>0.37032599999999999</v>
      </c>
      <c r="P102" s="36">
        <v>0.203179</v>
      </c>
      <c r="Q102" s="36">
        <f t="shared" si="47"/>
        <v>0.37032599999999999</v>
      </c>
      <c r="R102" s="36">
        <f t="shared" si="48"/>
        <v>0.203179</v>
      </c>
      <c r="S102" s="36">
        <f>IF(C102&lt;&gt;"Offshore",0,IFERROR(VLOOKUP(D102,'Local Tariffs'!$A$4:$B$98,2,0),VLOOKUP(A102,'Local Tariffs'!$A$4:$B$98,2,0)))</f>
        <v>0</v>
      </c>
      <c r="T102" s="36">
        <f>IF(C102&lt;&gt;"Offshore",0,VLOOKUP(I102,'Local Tariffs'!$E$4:$F$38,2,0))</f>
        <v>0</v>
      </c>
      <c r="U102" s="53">
        <f t="shared" si="49"/>
        <v>11470.099999999999</v>
      </c>
      <c r="V102" s="53">
        <f t="shared" si="50"/>
        <v>0</v>
      </c>
      <c r="W102" s="36">
        <v>12.894165000000003</v>
      </c>
      <c r="X102" s="37">
        <v>257883.3</v>
      </c>
      <c r="Y102" s="37">
        <v>0</v>
      </c>
      <c r="Z102" s="38">
        <v>0</v>
      </c>
      <c r="AA102" s="39">
        <v>0</v>
      </c>
      <c r="AB102" s="40">
        <v>0</v>
      </c>
      <c r="AC102" s="41">
        <v>0</v>
      </c>
      <c r="AD102" s="41">
        <v>0</v>
      </c>
      <c r="AE102" s="58">
        <f t="shared" si="51"/>
        <v>0</v>
      </c>
      <c r="AF102" s="58">
        <f t="shared" si="52"/>
        <v>0</v>
      </c>
      <c r="AG102" s="58">
        <f t="shared" si="53"/>
        <v>0</v>
      </c>
      <c r="AH102" s="41">
        <f t="shared" si="54"/>
        <v>0</v>
      </c>
      <c r="AI102" s="41">
        <f t="shared" si="55"/>
        <v>0</v>
      </c>
      <c r="AJ102" s="41">
        <f t="shared" si="56"/>
        <v>0</v>
      </c>
      <c r="AK102" s="42">
        <v>422.54</v>
      </c>
      <c r="AL102" s="41">
        <v>422.54</v>
      </c>
      <c r="AM102" s="41">
        <v>257883.29999999996</v>
      </c>
      <c r="AN102" s="64">
        <f t="shared" si="57"/>
        <v>258305.83999999997</v>
      </c>
      <c r="AO102" s="73">
        <f t="shared" si="58"/>
        <v>0</v>
      </c>
      <c r="AP102" s="73">
        <f t="shared" si="59"/>
        <v>0</v>
      </c>
    </row>
    <row r="103" spans="2:42" x14ac:dyDescent="0.25">
      <c r="B103" s="44" t="s">
        <v>450</v>
      </c>
      <c r="C103" s="45" t="s">
        <v>323</v>
      </c>
      <c r="D103" s="45" t="s">
        <v>324</v>
      </c>
      <c r="E103" s="45">
        <v>16</v>
      </c>
      <c r="F103" s="45" t="s">
        <v>451</v>
      </c>
      <c r="G103" s="33">
        <v>0.38663599999999998</v>
      </c>
      <c r="H103" s="34">
        <v>13</v>
      </c>
      <c r="I103" s="35" t="s">
        <v>326</v>
      </c>
      <c r="J103" s="36">
        <v>-4.849145</v>
      </c>
      <c r="K103" s="36">
        <v>-1.3465630000000002</v>
      </c>
      <c r="L103" s="53">
        <f t="shared" si="44"/>
        <v>-63038.885000000002</v>
      </c>
      <c r="M103" s="53">
        <f t="shared" si="45"/>
        <v>45533.565999999999</v>
      </c>
      <c r="N103" s="53">
        <f t="shared" si="46"/>
        <v>-17505.319000000003</v>
      </c>
      <c r="O103" s="36">
        <v>0</v>
      </c>
      <c r="P103" s="36">
        <v>0.27692499999999998</v>
      </c>
      <c r="Q103" s="36">
        <f t="shared" si="47"/>
        <v>0</v>
      </c>
      <c r="R103" s="36">
        <f t="shared" si="48"/>
        <v>0.27692499999999998</v>
      </c>
      <c r="S103" s="36">
        <f>IF(C103&lt;&gt;"Offshore",0,IFERROR(VLOOKUP(D103,'Local Tariffs'!$A$4:$B$98,2,0),VLOOKUP(A103,'Local Tariffs'!$A$4:$B$98,2,0)))</f>
        <v>0</v>
      </c>
      <c r="T103" s="36">
        <f>IF(C103&lt;&gt;"Offshore",0,VLOOKUP(I103,'Local Tariffs'!$E$4:$F$38,2,0))</f>
        <v>0</v>
      </c>
      <c r="U103" s="53">
        <f t="shared" si="49"/>
        <v>3600.0249999999996</v>
      </c>
      <c r="V103" s="53">
        <f t="shared" si="50"/>
        <v>0</v>
      </c>
      <c r="W103" s="36">
        <v>-1.0696380000000003</v>
      </c>
      <c r="X103" s="37">
        <v>-13905.29</v>
      </c>
      <c r="Y103" s="37">
        <v>1.0000000002037268E-2</v>
      </c>
      <c r="Z103" s="38">
        <v>-1.3465630000000002</v>
      </c>
      <c r="AA103" s="39">
        <v>-17505.32</v>
      </c>
      <c r="AB103" s="40">
        <v>11.040000000000001</v>
      </c>
      <c r="AC103" s="41">
        <v>-14866.06</v>
      </c>
      <c r="AD103" s="41">
        <v>2639.26</v>
      </c>
      <c r="AE103" s="58">
        <f t="shared" si="51"/>
        <v>-1.3465630000000002</v>
      </c>
      <c r="AF103" s="58">
        <f t="shared" si="52"/>
        <v>0</v>
      </c>
      <c r="AG103" s="58">
        <f t="shared" si="53"/>
        <v>0</v>
      </c>
      <c r="AH103" s="41">
        <f t="shared" si="54"/>
        <v>2639.2634799999992</v>
      </c>
      <c r="AI103" s="41">
        <f t="shared" si="55"/>
        <v>0</v>
      </c>
      <c r="AJ103" s="41">
        <f t="shared" si="56"/>
        <v>0</v>
      </c>
      <c r="AK103" s="42">
        <v>0</v>
      </c>
      <c r="AL103" s="41">
        <v>2639.2700000000023</v>
      </c>
      <c r="AM103" s="41">
        <v>-13905.300000000003</v>
      </c>
      <c r="AN103" s="64">
        <f t="shared" si="57"/>
        <v>-11266.03</v>
      </c>
      <c r="AO103" s="73">
        <f t="shared" si="58"/>
        <v>2639.2634799999992</v>
      </c>
      <c r="AP103" s="73">
        <f t="shared" si="59"/>
        <v>0</v>
      </c>
    </row>
    <row r="104" spans="2:42" x14ac:dyDescent="0.25">
      <c r="B104" s="44" t="s">
        <v>452</v>
      </c>
      <c r="C104" s="45" t="s">
        <v>323</v>
      </c>
      <c r="D104" s="45" t="s">
        <v>324</v>
      </c>
      <c r="E104" s="45">
        <v>16</v>
      </c>
      <c r="F104" s="45" t="s">
        <v>340</v>
      </c>
      <c r="G104" s="33">
        <v>0.35890699999999998</v>
      </c>
      <c r="H104" s="34">
        <v>755</v>
      </c>
      <c r="I104" s="35" t="s">
        <v>356</v>
      </c>
      <c r="J104" s="36">
        <v>-4.849145</v>
      </c>
      <c r="K104" s="36">
        <v>-1.3564360000000004</v>
      </c>
      <c r="L104" s="53">
        <f t="shared" si="44"/>
        <v>-3661104.4750000001</v>
      </c>
      <c r="M104" s="53">
        <f t="shared" si="45"/>
        <v>2636995.2949999999</v>
      </c>
      <c r="N104" s="53">
        <f t="shared" si="46"/>
        <v>-1024109.1800000002</v>
      </c>
      <c r="O104" s="36">
        <v>0</v>
      </c>
      <c r="P104" s="36">
        <v>0.201402</v>
      </c>
      <c r="Q104" s="36">
        <f t="shared" si="47"/>
        <v>0</v>
      </c>
      <c r="R104" s="36">
        <f t="shared" si="48"/>
        <v>0.201402</v>
      </c>
      <c r="S104" s="36">
        <f>IF(C104&lt;&gt;"Offshore",0,IFERROR(VLOOKUP(D104,'Local Tariffs'!$A$4:$B$98,2,0),VLOOKUP(A104,'Local Tariffs'!$A$4:$B$98,2,0)))</f>
        <v>0</v>
      </c>
      <c r="T104" s="36">
        <f>IF(C104&lt;&gt;"Offshore",0,VLOOKUP(I104,'Local Tariffs'!$E$4:$F$38,2,0))</f>
        <v>0</v>
      </c>
      <c r="U104" s="53">
        <f t="shared" si="49"/>
        <v>152058.50999999998</v>
      </c>
      <c r="V104" s="53">
        <f t="shared" si="50"/>
        <v>0</v>
      </c>
      <c r="W104" s="36">
        <v>-1.1550340000000003</v>
      </c>
      <c r="X104" s="37">
        <v>-872050.67</v>
      </c>
      <c r="Y104" s="37">
        <v>0.28000000026077032</v>
      </c>
      <c r="Z104" s="38">
        <v>-1.3564360000000004</v>
      </c>
      <c r="AA104" s="39">
        <v>-1024109.18</v>
      </c>
      <c r="AB104" s="40">
        <v>740.06666666666661</v>
      </c>
      <c r="AC104" s="41">
        <v>-1003853.07</v>
      </c>
      <c r="AD104" s="41">
        <v>20256.110000000102</v>
      </c>
      <c r="AE104" s="58">
        <f t="shared" si="51"/>
        <v>-1.3564360000000004</v>
      </c>
      <c r="AF104" s="58">
        <f t="shared" si="52"/>
        <v>0</v>
      </c>
      <c r="AG104" s="58">
        <f t="shared" si="53"/>
        <v>0</v>
      </c>
      <c r="AH104" s="41">
        <f t="shared" si="54"/>
        <v>20256.110933333421</v>
      </c>
      <c r="AI104" s="41">
        <f t="shared" si="55"/>
        <v>0</v>
      </c>
      <c r="AJ104" s="41">
        <f t="shared" si="56"/>
        <v>0</v>
      </c>
      <c r="AK104" s="42">
        <v>0</v>
      </c>
      <c r="AL104" s="41">
        <v>20256.390000000363</v>
      </c>
      <c r="AM104" s="41">
        <v>-872050.9500000003</v>
      </c>
      <c r="AN104" s="64">
        <f t="shared" si="57"/>
        <v>-851794.55999999994</v>
      </c>
      <c r="AO104" s="73">
        <f t="shared" si="58"/>
        <v>20256.110933333421</v>
      </c>
      <c r="AP104" s="73">
        <f t="shared" si="59"/>
        <v>0</v>
      </c>
    </row>
    <row r="105" spans="2:42" x14ac:dyDescent="0.25">
      <c r="B105" s="44" t="s">
        <v>453</v>
      </c>
      <c r="C105" s="45" t="s">
        <v>323</v>
      </c>
      <c r="D105" s="45" t="s">
        <v>396</v>
      </c>
      <c r="E105" s="45">
        <v>11</v>
      </c>
      <c r="F105" s="45" t="s">
        <v>328</v>
      </c>
      <c r="G105" s="33">
        <v>0.32167000000000001</v>
      </c>
      <c r="H105" s="34">
        <v>4.5</v>
      </c>
      <c r="I105" s="35" t="s">
        <v>321</v>
      </c>
      <c r="J105" s="36">
        <v>-4.849145</v>
      </c>
      <c r="K105" s="36">
        <v>-6.4773300000000003</v>
      </c>
      <c r="L105" s="53">
        <f t="shared" si="44"/>
        <v>-21821.1525</v>
      </c>
      <c r="M105" s="53">
        <f t="shared" si="45"/>
        <v>-7326.8325000000013</v>
      </c>
      <c r="N105" s="53">
        <f t="shared" si="46"/>
        <v>-29147.985000000001</v>
      </c>
      <c r="O105" s="36">
        <v>1.526206</v>
      </c>
      <c r="P105" s="36">
        <v>0.203179</v>
      </c>
      <c r="Q105" s="36">
        <f t="shared" si="47"/>
        <v>1.526206</v>
      </c>
      <c r="R105" s="36">
        <f t="shared" si="48"/>
        <v>0.203179</v>
      </c>
      <c r="S105" s="36">
        <f>IF(C105&lt;&gt;"Offshore",0,IFERROR(VLOOKUP(D105,'Local Tariffs'!$A$4:$B$98,2,0),VLOOKUP(A105,'Local Tariffs'!$A$4:$B$98,2,0)))</f>
        <v>0</v>
      </c>
      <c r="T105" s="36">
        <f>IF(C105&lt;&gt;"Offshore",0,VLOOKUP(I105,'Local Tariffs'!$E$4:$F$38,2,0))</f>
        <v>0</v>
      </c>
      <c r="U105" s="53">
        <f t="shared" si="49"/>
        <v>7782.2325000000001</v>
      </c>
      <c r="V105" s="53">
        <f t="shared" si="50"/>
        <v>0</v>
      </c>
      <c r="W105" s="36">
        <v>-4.7479449999999996</v>
      </c>
      <c r="X105" s="37">
        <v>-21365.75</v>
      </c>
      <c r="Y105" s="37">
        <v>0</v>
      </c>
      <c r="Z105" s="38">
        <v>-6.4773300000000003</v>
      </c>
      <c r="AA105" s="39">
        <v>-29147.99</v>
      </c>
      <c r="AB105" s="40">
        <v>4.4766666666666666</v>
      </c>
      <c r="AC105" s="41">
        <v>-28996.85</v>
      </c>
      <c r="AD105" s="41">
        <v>151.14000000000306</v>
      </c>
      <c r="AE105" s="58">
        <f t="shared" si="51"/>
        <v>-6.4773300000000003</v>
      </c>
      <c r="AF105" s="58">
        <f t="shared" si="52"/>
        <v>0</v>
      </c>
      <c r="AG105" s="58">
        <f t="shared" si="53"/>
        <v>0</v>
      </c>
      <c r="AH105" s="41">
        <f t="shared" si="54"/>
        <v>151.13770000000062</v>
      </c>
      <c r="AI105" s="41">
        <f t="shared" si="55"/>
        <v>0</v>
      </c>
      <c r="AJ105" s="41">
        <f t="shared" si="56"/>
        <v>0</v>
      </c>
      <c r="AK105" s="42">
        <v>76.69</v>
      </c>
      <c r="AL105" s="41">
        <v>227.83000000000305</v>
      </c>
      <c r="AM105" s="41">
        <v>-21365.75</v>
      </c>
      <c r="AN105" s="64">
        <f t="shared" si="57"/>
        <v>-21137.919999999998</v>
      </c>
      <c r="AO105" s="73">
        <f t="shared" si="58"/>
        <v>113.14671666666713</v>
      </c>
      <c r="AP105" s="73">
        <f t="shared" si="59"/>
        <v>37.990983333333489</v>
      </c>
    </row>
    <row r="106" spans="2:42" x14ac:dyDescent="0.25">
      <c r="B106" s="44" t="s">
        <v>454</v>
      </c>
      <c r="C106" s="45" t="s">
        <v>323</v>
      </c>
      <c r="D106" s="45" t="s">
        <v>324</v>
      </c>
      <c r="E106" s="45">
        <v>24</v>
      </c>
      <c r="F106" s="45" t="s">
        <v>374</v>
      </c>
      <c r="G106" s="33">
        <v>0.102893</v>
      </c>
      <c r="H106" s="34">
        <v>49.9</v>
      </c>
      <c r="I106" s="35" t="s">
        <v>356</v>
      </c>
      <c r="J106" s="36">
        <v>-4.849145</v>
      </c>
      <c r="K106" s="36">
        <v>-8.3574509999999993</v>
      </c>
      <c r="L106" s="53">
        <f t="shared" si="44"/>
        <v>-241972.33549999999</v>
      </c>
      <c r="M106" s="53">
        <f t="shared" si="45"/>
        <v>-175064.46939999994</v>
      </c>
      <c r="N106" s="53">
        <f t="shared" si="46"/>
        <v>-417036.80489999993</v>
      </c>
      <c r="O106" s="36">
        <v>0</v>
      </c>
      <c r="P106" s="36">
        <v>0.201402</v>
      </c>
      <c r="Q106" s="36">
        <f t="shared" si="47"/>
        <v>0</v>
      </c>
      <c r="R106" s="36">
        <f t="shared" si="48"/>
        <v>0.201402</v>
      </c>
      <c r="S106" s="36">
        <f>IF(C106&lt;&gt;"Offshore",0,IFERROR(VLOOKUP(D106,'Local Tariffs'!$A$4:$B$98,2,0),VLOOKUP(A106,'Local Tariffs'!$A$4:$B$98,2,0)))</f>
        <v>0</v>
      </c>
      <c r="T106" s="36">
        <f>IF(C106&lt;&gt;"Offshore",0,VLOOKUP(I106,'Local Tariffs'!$E$4:$F$38,2,0))</f>
        <v>0</v>
      </c>
      <c r="U106" s="53">
        <f t="shared" si="49"/>
        <v>10049.959800000001</v>
      </c>
      <c r="V106" s="53">
        <f t="shared" si="50"/>
        <v>0</v>
      </c>
      <c r="W106" s="36">
        <v>-8.1560489999999994</v>
      </c>
      <c r="X106" s="37">
        <v>-406986.85</v>
      </c>
      <c r="Y106" s="37">
        <v>-406986.85</v>
      </c>
      <c r="Z106" s="38">
        <v>-8.3574509999999993</v>
      </c>
      <c r="AA106" s="39">
        <v>-417036.79999999999</v>
      </c>
      <c r="AB106" s="40">
        <v>0</v>
      </c>
      <c r="AC106" s="41">
        <v>0</v>
      </c>
      <c r="AD106" s="41">
        <v>417036.79999999999</v>
      </c>
      <c r="AE106" s="58">
        <f t="shared" si="51"/>
        <v>-8.3574509999999993</v>
      </c>
      <c r="AF106" s="58">
        <f t="shared" si="52"/>
        <v>0</v>
      </c>
      <c r="AG106" s="58">
        <f t="shared" si="53"/>
        <v>0</v>
      </c>
      <c r="AH106" s="41">
        <f t="shared" si="54"/>
        <v>417036.80489999993</v>
      </c>
      <c r="AI106" s="41">
        <f t="shared" si="55"/>
        <v>0</v>
      </c>
      <c r="AJ106" s="41">
        <f t="shared" si="56"/>
        <v>0</v>
      </c>
      <c r="AK106" s="42">
        <v>0</v>
      </c>
      <c r="AL106" s="41">
        <v>10049.950000000012</v>
      </c>
      <c r="AM106" s="41">
        <v>0</v>
      </c>
      <c r="AN106" s="64">
        <f t="shared" si="57"/>
        <v>10049.950000000012</v>
      </c>
      <c r="AO106" s="73">
        <f t="shared" si="58"/>
        <v>241972.33549999999</v>
      </c>
      <c r="AP106" s="73">
        <f t="shared" si="59"/>
        <v>175064.46939999994</v>
      </c>
    </row>
    <row r="107" spans="2:42" x14ac:dyDescent="0.25">
      <c r="B107" s="44" t="s">
        <v>455</v>
      </c>
      <c r="C107" s="45" t="s">
        <v>323</v>
      </c>
      <c r="D107" s="45" t="s">
        <v>456</v>
      </c>
      <c r="E107" s="45">
        <v>1</v>
      </c>
      <c r="F107" s="45" t="s">
        <v>328</v>
      </c>
      <c r="G107" s="33">
        <v>0.515019</v>
      </c>
      <c r="H107" s="34">
        <v>67</v>
      </c>
      <c r="I107" s="35" t="s">
        <v>359</v>
      </c>
      <c r="J107" s="36">
        <v>-4.849145</v>
      </c>
      <c r="K107" s="36">
        <v>20.916505999999998</v>
      </c>
      <c r="L107" s="53">
        <f t="shared" si="44"/>
        <v>-324892.71500000003</v>
      </c>
      <c r="M107" s="53">
        <f t="shared" si="45"/>
        <v>1726298.6169999999</v>
      </c>
      <c r="N107" s="53">
        <f t="shared" si="46"/>
        <v>1401405.9019999998</v>
      </c>
      <c r="O107" s="36">
        <v>0.109582</v>
      </c>
      <c r="P107" s="36">
        <v>0.116232</v>
      </c>
      <c r="Q107" s="36">
        <f t="shared" si="47"/>
        <v>0.109582</v>
      </c>
      <c r="R107" s="36">
        <f t="shared" si="48"/>
        <v>0.116232</v>
      </c>
      <c r="S107" s="36">
        <f>IF(C107&lt;&gt;"Offshore",0,IFERROR(VLOOKUP(D107,'Local Tariffs'!$A$4:$B$98,2,0),VLOOKUP(A107,'Local Tariffs'!$A$4:$B$98,2,0)))</f>
        <v>0</v>
      </c>
      <c r="T107" s="36">
        <f>IF(C107&lt;&gt;"Offshore",0,VLOOKUP(I107,'Local Tariffs'!$E$4:$F$38,2,0))</f>
        <v>0</v>
      </c>
      <c r="U107" s="53">
        <f t="shared" si="49"/>
        <v>15129.538</v>
      </c>
      <c r="V107" s="53">
        <f t="shared" si="50"/>
        <v>0</v>
      </c>
      <c r="W107" s="36">
        <v>21.142319999999998</v>
      </c>
      <c r="X107" s="37">
        <v>1416535.44</v>
      </c>
      <c r="Y107" s="37">
        <v>0</v>
      </c>
      <c r="Z107" s="38">
        <v>0</v>
      </c>
      <c r="AA107" s="39">
        <v>0</v>
      </c>
      <c r="AB107" s="40">
        <v>0</v>
      </c>
      <c r="AC107" s="41">
        <v>0</v>
      </c>
      <c r="AD107" s="41">
        <v>0</v>
      </c>
      <c r="AE107" s="58">
        <f t="shared" si="51"/>
        <v>0</v>
      </c>
      <c r="AF107" s="58">
        <f t="shared" si="52"/>
        <v>0</v>
      </c>
      <c r="AG107" s="58">
        <f t="shared" si="53"/>
        <v>0</v>
      </c>
      <c r="AH107" s="41">
        <f t="shared" si="54"/>
        <v>0</v>
      </c>
      <c r="AI107" s="41">
        <f t="shared" si="55"/>
        <v>0</v>
      </c>
      <c r="AJ107" s="41">
        <f t="shared" si="56"/>
        <v>0</v>
      </c>
      <c r="AK107" s="42">
        <v>3605.65</v>
      </c>
      <c r="AL107" s="41">
        <v>3605.65</v>
      </c>
      <c r="AM107" s="41">
        <v>1416535.4400000004</v>
      </c>
      <c r="AN107" s="64">
        <f t="shared" si="57"/>
        <v>1420141.0900000003</v>
      </c>
      <c r="AO107" s="73">
        <f t="shared" si="58"/>
        <v>0</v>
      </c>
      <c r="AP107" s="73">
        <f t="shared" si="59"/>
        <v>0</v>
      </c>
    </row>
    <row r="108" spans="2:42" x14ac:dyDescent="0.25">
      <c r="B108" s="44" t="s">
        <v>457</v>
      </c>
      <c r="C108" s="45" t="s">
        <v>323</v>
      </c>
      <c r="D108" s="45" t="s">
        <v>457</v>
      </c>
      <c r="E108" s="45">
        <v>10</v>
      </c>
      <c r="F108" s="45" t="s">
        <v>328</v>
      </c>
      <c r="G108" s="33">
        <v>0.31314500000000001</v>
      </c>
      <c r="H108" s="34">
        <v>228</v>
      </c>
      <c r="I108" s="35" t="s">
        <v>359</v>
      </c>
      <c r="J108" s="36">
        <v>-4.849145</v>
      </c>
      <c r="K108" s="36">
        <v>10.558913</v>
      </c>
      <c r="L108" s="53">
        <f t="shared" si="44"/>
        <v>-1105605.06</v>
      </c>
      <c r="M108" s="53">
        <f t="shared" si="45"/>
        <v>3513037.2239999999</v>
      </c>
      <c r="N108" s="53">
        <f t="shared" si="46"/>
        <v>2407432.1639999999</v>
      </c>
      <c r="O108" s="36">
        <v>1.0650569999999999</v>
      </c>
      <c r="P108" s="36">
        <v>0.116232</v>
      </c>
      <c r="Q108" s="36">
        <f t="shared" si="47"/>
        <v>1.0650569999999999</v>
      </c>
      <c r="R108" s="36">
        <f t="shared" si="48"/>
        <v>0.116232</v>
      </c>
      <c r="S108" s="36">
        <f>IF(C108&lt;&gt;"Offshore",0,IFERROR(VLOOKUP(D108,'Local Tariffs'!$A$4:$B$98,2,0),VLOOKUP(A108,'Local Tariffs'!$A$4:$B$98,2,0)))</f>
        <v>0</v>
      </c>
      <c r="T108" s="36">
        <f>IF(C108&lt;&gt;"Offshore",0,VLOOKUP(I108,'Local Tariffs'!$E$4:$F$38,2,0))</f>
        <v>0</v>
      </c>
      <c r="U108" s="53">
        <f t="shared" si="49"/>
        <v>269333.89199999999</v>
      </c>
      <c r="V108" s="53">
        <f t="shared" si="50"/>
        <v>0</v>
      </c>
      <c r="W108" s="36">
        <v>11.740202</v>
      </c>
      <c r="X108" s="37">
        <v>2676766.06</v>
      </c>
      <c r="Y108" s="37">
        <v>-5.0000000279396772E-2</v>
      </c>
      <c r="Z108" s="38">
        <v>0</v>
      </c>
      <c r="AA108" s="39">
        <v>0</v>
      </c>
      <c r="AB108" s="40">
        <v>0</v>
      </c>
      <c r="AC108" s="41">
        <v>0</v>
      </c>
      <c r="AD108" s="41">
        <v>0</v>
      </c>
      <c r="AE108" s="58">
        <f t="shared" si="51"/>
        <v>0</v>
      </c>
      <c r="AF108" s="58">
        <f t="shared" si="52"/>
        <v>0</v>
      </c>
      <c r="AG108" s="58">
        <f t="shared" si="53"/>
        <v>0</v>
      </c>
      <c r="AH108" s="41">
        <f t="shared" si="54"/>
        <v>0</v>
      </c>
      <c r="AI108" s="41">
        <f t="shared" si="55"/>
        <v>0</v>
      </c>
      <c r="AJ108" s="41">
        <f t="shared" si="56"/>
        <v>0</v>
      </c>
      <c r="AK108" s="42">
        <v>0</v>
      </c>
      <c r="AL108" s="41">
        <v>-5.0000000279396772E-2</v>
      </c>
      <c r="AM108" s="41">
        <v>2676766.1100000003</v>
      </c>
      <c r="AN108" s="64">
        <f t="shared" si="57"/>
        <v>2676766.06</v>
      </c>
      <c r="AO108" s="73">
        <f t="shared" si="58"/>
        <v>0</v>
      </c>
      <c r="AP108" s="73">
        <f t="shared" si="59"/>
        <v>0</v>
      </c>
    </row>
    <row r="109" spans="2:42" x14ac:dyDescent="0.25">
      <c r="B109" s="44" t="s">
        <v>458</v>
      </c>
      <c r="C109" s="45" t="s">
        <v>323</v>
      </c>
      <c r="D109" s="45" t="s">
        <v>324</v>
      </c>
      <c r="E109" s="45">
        <v>15</v>
      </c>
      <c r="F109" s="45" t="s">
        <v>372</v>
      </c>
      <c r="G109" s="33">
        <v>5.1879999999999999E-3</v>
      </c>
      <c r="H109" s="34">
        <v>600</v>
      </c>
      <c r="I109" s="35" t="s">
        <v>362</v>
      </c>
      <c r="J109" s="36">
        <v>-4.849145</v>
      </c>
      <c r="K109" s="36">
        <v>-0.20894327229999998</v>
      </c>
      <c r="L109" s="53">
        <f t="shared" si="44"/>
        <v>-2909487</v>
      </c>
      <c r="M109" s="53">
        <f t="shared" si="45"/>
        <v>2784121.0366199999</v>
      </c>
      <c r="N109" s="53">
        <f t="shared" si="46"/>
        <v>-125365.96338000009</v>
      </c>
      <c r="O109" s="36">
        <v>0</v>
      </c>
      <c r="P109" s="36">
        <v>0.43671900000000002</v>
      </c>
      <c r="Q109" s="36">
        <f t="shared" si="47"/>
        <v>0</v>
      </c>
      <c r="R109" s="36">
        <f t="shared" si="48"/>
        <v>0.43671900000000002</v>
      </c>
      <c r="S109" s="36">
        <f>IF(C109&lt;&gt;"Offshore",0,IFERROR(VLOOKUP(D109,'Local Tariffs'!$A$4:$B$98,2,0),VLOOKUP(A109,'Local Tariffs'!$A$4:$B$98,2,0)))</f>
        <v>0</v>
      </c>
      <c r="T109" s="36">
        <f>IF(C109&lt;&gt;"Offshore",0,VLOOKUP(I109,'Local Tariffs'!$E$4:$F$38,2,0))</f>
        <v>0</v>
      </c>
      <c r="U109" s="53">
        <f t="shared" si="49"/>
        <v>262031.40000000002</v>
      </c>
      <c r="V109" s="53">
        <f t="shared" si="50"/>
        <v>0</v>
      </c>
      <c r="W109" s="36">
        <v>0.22777572770000004</v>
      </c>
      <c r="X109" s="37">
        <v>136665.44</v>
      </c>
      <c r="Y109" s="37">
        <v>0.3000000000174623</v>
      </c>
      <c r="Z109" s="38">
        <v>-0.20894327229999998</v>
      </c>
      <c r="AA109" s="39">
        <v>-125365.96</v>
      </c>
      <c r="AB109" s="40">
        <v>589.98400000000004</v>
      </c>
      <c r="AC109" s="41">
        <v>-123273.19</v>
      </c>
      <c r="AD109" s="41">
        <v>2092.7700000000041</v>
      </c>
      <c r="AE109" s="58">
        <f t="shared" si="51"/>
        <v>-0.20894327229999998</v>
      </c>
      <c r="AF109" s="58">
        <f t="shared" si="52"/>
        <v>0</v>
      </c>
      <c r="AG109" s="58">
        <f t="shared" si="53"/>
        <v>0</v>
      </c>
      <c r="AH109" s="41">
        <f t="shared" si="54"/>
        <v>2092.775815356792</v>
      </c>
      <c r="AI109" s="41">
        <f t="shared" si="55"/>
        <v>0</v>
      </c>
      <c r="AJ109" s="41">
        <f t="shared" si="56"/>
        <v>0</v>
      </c>
      <c r="AK109" s="42">
        <v>0</v>
      </c>
      <c r="AL109" s="41">
        <v>2093.0700000000215</v>
      </c>
      <c r="AM109" s="41">
        <v>136665.13999999998</v>
      </c>
      <c r="AN109" s="64">
        <f t="shared" si="57"/>
        <v>138758.21000000002</v>
      </c>
      <c r="AO109" s="73">
        <f t="shared" si="58"/>
        <v>2092.775815356792</v>
      </c>
      <c r="AP109" s="73">
        <f t="shared" si="59"/>
        <v>0</v>
      </c>
    </row>
    <row r="110" spans="2:42" x14ac:dyDescent="0.25">
      <c r="B110" s="44" t="s">
        <v>459</v>
      </c>
      <c r="C110" s="45" t="s">
        <v>323</v>
      </c>
      <c r="D110" s="45" t="s">
        <v>459</v>
      </c>
      <c r="E110" s="45">
        <v>1</v>
      </c>
      <c r="F110" s="45" t="s">
        <v>333</v>
      </c>
      <c r="G110" s="33">
        <v>0.33334599999999998</v>
      </c>
      <c r="H110" s="34">
        <v>20</v>
      </c>
      <c r="I110" s="35" t="s">
        <v>321</v>
      </c>
      <c r="J110" s="36">
        <v>-4.849145</v>
      </c>
      <c r="K110" s="36">
        <v>8.3344609999999992</v>
      </c>
      <c r="L110" s="53">
        <f t="shared" si="44"/>
        <v>-96982.9</v>
      </c>
      <c r="M110" s="53">
        <f t="shared" si="45"/>
        <v>263672.12</v>
      </c>
      <c r="N110" s="53">
        <f t="shared" si="46"/>
        <v>166689.22</v>
      </c>
      <c r="O110" s="36">
        <v>0.19985900000000001</v>
      </c>
      <c r="P110" s="36">
        <v>0.203179</v>
      </c>
      <c r="Q110" s="36">
        <f t="shared" si="47"/>
        <v>0.19985900000000001</v>
      </c>
      <c r="R110" s="36">
        <f t="shared" si="48"/>
        <v>0.203179</v>
      </c>
      <c r="S110" s="36">
        <f>IF(C110&lt;&gt;"Offshore",0,IFERROR(VLOOKUP(D110,'Local Tariffs'!$A$4:$B$98,2,0),VLOOKUP(A110,'Local Tariffs'!$A$4:$B$98,2,0)))</f>
        <v>0</v>
      </c>
      <c r="T110" s="36">
        <f>IF(C110&lt;&gt;"Offshore",0,VLOOKUP(I110,'Local Tariffs'!$E$4:$F$38,2,0))</f>
        <v>0</v>
      </c>
      <c r="U110" s="53">
        <f t="shared" si="49"/>
        <v>8060.76</v>
      </c>
      <c r="V110" s="53">
        <f t="shared" si="50"/>
        <v>0</v>
      </c>
      <c r="W110" s="36">
        <v>8.7374989999999997</v>
      </c>
      <c r="X110" s="37">
        <v>174749.98</v>
      </c>
      <c r="Y110" s="37">
        <v>-9.9999999802093953E-3</v>
      </c>
      <c r="Z110" s="38">
        <v>0</v>
      </c>
      <c r="AA110" s="39">
        <v>0</v>
      </c>
      <c r="AB110" s="40">
        <v>0</v>
      </c>
      <c r="AC110" s="41">
        <v>0</v>
      </c>
      <c r="AD110" s="41">
        <v>0</v>
      </c>
      <c r="AE110" s="58">
        <f t="shared" si="51"/>
        <v>0</v>
      </c>
      <c r="AF110" s="58">
        <f t="shared" si="52"/>
        <v>0</v>
      </c>
      <c r="AG110" s="58">
        <f t="shared" si="53"/>
        <v>0</v>
      </c>
      <c r="AH110" s="41">
        <f t="shared" si="54"/>
        <v>0</v>
      </c>
      <c r="AI110" s="41">
        <f t="shared" si="55"/>
        <v>0</v>
      </c>
      <c r="AJ110" s="41">
        <f t="shared" si="56"/>
        <v>0</v>
      </c>
      <c r="AK110" s="42">
        <v>0</v>
      </c>
      <c r="AL110" s="41">
        <v>-9.9999999802093953E-3</v>
      </c>
      <c r="AM110" s="41">
        <v>174749.99</v>
      </c>
      <c r="AN110" s="64">
        <f t="shared" si="57"/>
        <v>174749.98</v>
      </c>
      <c r="AO110" s="73">
        <f t="shared" si="58"/>
        <v>0</v>
      </c>
      <c r="AP110" s="73">
        <f t="shared" si="59"/>
        <v>0</v>
      </c>
    </row>
    <row r="111" spans="2:42" x14ac:dyDescent="0.25">
      <c r="B111" s="44" t="s">
        <v>460</v>
      </c>
      <c r="C111" s="45" t="s">
        <v>2</v>
      </c>
      <c r="D111" s="45" t="s">
        <v>324</v>
      </c>
      <c r="E111" s="45">
        <v>17</v>
      </c>
      <c r="F111" s="45" t="s">
        <v>340</v>
      </c>
      <c r="G111" s="33">
        <v>0.171241</v>
      </c>
      <c r="H111" s="34">
        <v>395</v>
      </c>
      <c r="I111" s="35" t="s">
        <v>364</v>
      </c>
      <c r="J111" s="36">
        <v>-4.849145</v>
      </c>
      <c r="K111" s="36">
        <v>-3.012356</v>
      </c>
      <c r="L111" s="53">
        <f t="shared" si="44"/>
        <v>-1915412.2749999999</v>
      </c>
      <c r="M111" s="53">
        <f t="shared" si="45"/>
        <v>725531.65500000003</v>
      </c>
      <c r="N111" s="53">
        <f t="shared" si="46"/>
        <v>-1189880.6199999999</v>
      </c>
      <c r="O111" s="36">
        <v>0</v>
      </c>
      <c r="P111" s="36">
        <v>0</v>
      </c>
      <c r="Q111" s="36">
        <f t="shared" si="47"/>
        <v>0</v>
      </c>
      <c r="R111" s="36">
        <f t="shared" si="48"/>
        <v>0</v>
      </c>
      <c r="S111" s="36">
        <f>IF(C111&lt;&gt;"Offshore",0,IFERROR(VLOOKUP(D111,'Local Tariffs'!$A$4:$B$98,2,0),VLOOKUP(A111,'Local Tariffs'!$A$4:$B$98,2,0)))</f>
        <v>0</v>
      </c>
      <c r="T111" s="36">
        <f>IF(C111&lt;&gt;"Offshore",0,VLOOKUP(I111,'Local Tariffs'!$E$4:$F$38,2,0))</f>
        <v>0</v>
      </c>
      <c r="U111" s="53">
        <f t="shared" si="49"/>
        <v>0</v>
      </c>
      <c r="V111" s="53">
        <f t="shared" si="50"/>
        <v>0</v>
      </c>
      <c r="W111" s="36">
        <v>-3.012356</v>
      </c>
      <c r="X111" s="37">
        <v>-1189880.6200000001</v>
      </c>
      <c r="Y111" s="37">
        <v>-93118.060000000289</v>
      </c>
      <c r="Z111" s="38">
        <v>-3.012356</v>
      </c>
      <c r="AA111" s="39">
        <v>-1189880.6200000001</v>
      </c>
      <c r="AB111" s="40">
        <v>390.69799999999992</v>
      </c>
      <c r="AC111" s="41">
        <v>-1176921.46</v>
      </c>
      <c r="AD111" s="41">
        <v>12959.160000000149</v>
      </c>
      <c r="AE111" s="58">
        <f t="shared" si="51"/>
        <v>-3.012356</v>
      </c>
      <c r="AF111" s="58">
        <f t="shared" si="52"/>
        <v>0</v>
      </c>
      <c r="AG111" s="58">
        <f t="shared" si="53"/>
        <v>0</v>
      </c>
      <c r="AH111" s="41">
        <f t="shared" si="54"/>
        <v>12959.155512000236</v>
      </c>
      <c r="AI111" s="41">
        <f t="shared" si="55"/>
        <v>0</v>
      </c>
      <c r="AJ111" s="41">
        <f t="shared" si="56"/>
        <v>0</v>
      </c>
      <c r="AK111" s="42">
        <v>0</v>
      </c>
      <c r="AL111" s="41">
        <v>-80158.90000000014</v>
      </c>
      <c r="AM111" s="41">
        <v>-1096762.5599999998</v>
      </c>
      <c r="AN111" s="64">
        <f t="shared" si="57"/>
        <v>-1176921.46</v>
      </c>
      <c r="AO111" s="73">
        <f t="shared" si="58"/>
        <v>12959.155512000236</v>
      </c>
      <c r="AP111" s="73">
        <f t="shared" si="59"/>
        <v>0</v>
      </c>
    </row>
    <row r="112" spans="2:42" x14ac:dyDescent="0.25">
      <c r="B112" s="44" t="s">
        <v>461</v>
      </c>
      <c r="C112" s="45" t="s">
        <v>323</v>
      </c>
      <c r="D112" s="45" t="s">
        <v>461</v>
      </c>
      <c r="E112" s="45">
        <v>11</v>
      </c>
      <c r="F112" s="45" t="s">
        <v>328</v>
      </c>
      <c r="G112" s="33">
        <v>0.33036500000000002</v>
      </c>
      <c r="H112" s="34">
        <v>88.4</v>
      </c>
      <c r="I112" s="35" t="s">
        <v>321</v>
      </c>
      <c r="J112" s="36">
        <v>-4.849145</v>
      </c>
      <c r="K112" s="36">
        <v>-6.3723009999999984</v>
      </c>
      <c r="L112" s="53">
        <f t="shared" si="44"/>
        <v>-428664.41800000001</v>
      </c>
      <c r="M112" s="53">
        <f t="shared" si="45"/>
        <v>-134646.99039999989</v>
      </c>
      <c r="N112" s="53">
        <f t="shared" si="46"/>
        <v>-563311.40839999984</v>
      </c>
      <c r="O112" s="36">
        <v>1.5010220000000001</v>
      </c>
      <c r="P112" s="36">
        <v>0.203179</v>
      </c>
      <c r="Q112" s="36">
        <f t="shared" si="47"/>
        <v>1.5010220000000001</v>
      </c>
      <c r="R112" s="36">
        <f t="shared" si="48"/>
        <v>0.203179</v>
      </c>
      <c r="S112" s="36">
        <f>IF(C112&lt;&gt;"Offshore",0,IFERROR(VLOOKUP(D112,'Local Tariffs'!$A$4:$B$98,2,0),VLOOKUP(A112,'Local Tariffs'!$A$4:$B$98,2,0)))</f>
        <v>0</v>
      </c>
      <c r="T112" s="36">
        <f>IF(C112&lt;&gt;"Offshore",0,VLOOKUP(I112,'Local Tariffs'!$E$4:$F$38,2,0))</f>
        <v>0</v>
      </c>
      <c r="U112" s="53">
        <f t="shared" si="49"/>
        <v>150651.36840000004</v>
      </c>
      <c r="V112" s="53">
        <f t="shared" si="50"/>
        <v>0</v>
      </c>
      <c r="W112" s="36">
        <v>-4.668099999999999</v>
      </c>
      <c r="X112" s="37">
        <v>-412660.04</v>
      </c>
      <c r="Y112" s="37">
        <v>-1.0000000009313226E-2</v>
      </c>
      <c r="Z112" s="38">
        <v>-6.3723009999999984</v>
      </c>
      <c r="AA112" s="39">
        <v>-563311.41</v>
      </c>
      <c r="AB112" s="40">
        <v>87.525333333333336</v>
      </c>
      <c r="AC112" s="41">
        <v>-557737.77</v>
      </c>
      <c r="AD112" s="41">
        <v>5573.640000000014</v>
      </c>
      <c r="AE112" s="58">
        <f t="shared" si="51"/>
        <v>-6.3723009999999984</v>
      </c>
      <c r="AF112" s="58">
        <f t="shared" si="52"/>
        <v>0</v>
      </c>
      <c r="AG112" s="58">
        <f t="shared" si="53"/>
        <v>0</v>
      </c>
      <c r="AH112" s="41">
        <f t="shared" si="54"/>
        <v>5573.6392746666852</v>
      </c>
      <c r="AI112" s="41">
        <f t="shared" si="55"/>
        <v>0</v>
      </c>
      <c r="AJ112" s="41">
        <f t="shared" si="56"/>
        <v>0</v>
      </c>
      <c r="AK112" s="42">
        <v>0</v>
      </c>
      <c r="AL112" s="41">
        <v>5573.6300000000047</v>
      </c>
      <c r="AM112" s="41">
        <v>-412660.02999999997</v>
      </c>
      <c r="AN112" s="64">
        <f t="shared" si="57"/>
        <v>-407086.39999999997</v>
      </c>
      <c r="AO112" s="73">
        <f t="shared" si="58"/>
        <v>4241.3854933333487</v>
      </c>
      <c r="AP112" s="73">
        <f t="shared" si="59"/>
        <v>1332.2537813333367</v>
      </c>
    </row>
    <row r="113" spans="2:42" x14ac:dyDescent="0.25">
      <c r="B113" s="44" t="s">
        <v>462</v>
      </c>
      <c r="C113" s="45" t="s">
        <v>323</v>
      </c>
      <c r="D113" s="45" t="s">
        <v>462</v>
      </c>
      <c r="E113" s="45">
        <v>27</v>
      </c>
      <c r="F113" s="45" t="s">
        <v>340</v>
      </c>
      <c r="G113" s="33">
        <v>0.339196</v>
      </c>
      <c r="H113" s="34">
        <v>905</v>
      </c>
      <c r="I113" s="35" t="s">
        <v>356</v>
      </c>
      <c r="J113" s="36">
        <v>-4.849145</v>
      </c>
      <c r="K113" s="36">
        <v>-7.0726659999999999</v>
      </c>
      <c r="L113" s="53">
        <f t="shared" si="44"/>
        <v>-4388476.2250000006</v>
      </c>
      <c r="M113" s="53">
        <f t="shared" si="45"/>
        <v>-2012286.5049999999</v>
      </c>
      <c r="N113" s="53">
        <f t="shared" si="46"/>
        <v>-6400762.7300000004</v>
      </c>
      <c r="O113" s="36">
        <v>0.66558099999999998</v>
      </c>
      <c r="P113" s="36">
        <v>0.201402</v>
      </c>
      <c r="Q113" s="36">
        <f t="shared" si="47"/>
        <v>0.66558099999999998</v>
      </c>
      <c r="R113" s="36">
        <f t="shared" si="48"/>
        <v>0.201402</v>
      </c>
      <c r="S113" s="36">
        <f>IF(C113&lt;&gt;"Offshore",0,IFERROR(VLOOKUP(D113,'Local Tariffs'!$A$4:$B$98,2,0),VLOOKUP(A113,'Local Tariffs'!$A$4:$B$98,2,0)))</f>
        <v>0</v>
      </c>
      <c r="T113" s="36">
        <f>IF(C113&lt;&gt;"Offshore",0,VLOOKUP(I113,'Local Tariffs'!$E$4:$F$38,2,0))</f>
        <v>0</v>
      </c>
      <c r="U113" s="53">
        <f t="shared" si="49"/>
        <v>784619.61499999999</v>
      </c>
      <c r="V113" s="53">
        <f t="shared" si="50"/>
        <v>0</v>
      </c>
      <c r="W113" s="36">
        <v>-6.2056830000000005</v>
      </c>
      <c r="X113" s="37">
        <v>-5616143.1200000001</v>
      </c>
      <c r="Y113" s="37">
        <v>6.0000000521540642E-2</v>
      </c>
      <c r="Z113" s="38">
        <v>-7.0726659999999999</v>
      </c>
      <c r="AA113" s="39">
        <v>-6400762.7300000004</v>
      </c>
      <c r="AB113" s="40">
        <v>861.13333333333333</v>
      </c>
      <c r="AC113" s="41">
        <v>-6090508.4500000002</v>
      </c>
      <c r="AD113" s="41">
        <v>310254.28000000026</v>
      </c>
      <c r="AE113" s="58">
        <f t="shared" si="51"/>
        <v>-7.0726659999999999</v>
      </c>
      <c r="AF113" s="58">
        <f t="shared" si="52"/>
        <v>0</v>
      </c>
      <c r="AG113" s="58">
        <f t="shared" si="53"/>
        <v>0</v>
      </c>
      <c r="AH113" s="41">
        <f t="shared" si="54"/>
        <v>310254.28186666669</v>
      </c>
      <c r="AI113" s="41">
        <f t="shared" si="55"/>
        <v>0</v>
      </c>
      <c r="AJ113" s="41">
        <f t="shared" si="56"/>
        <v>0</v>
      </c>
      <c r="AK113" s="42">
        <v>0</v>
      </c>
      <c r="AL113" s="41">
        <v>310254.34000000078</v>
      </c>
      <c r="AM113" s="41">
        <v>-5616143.1800000006</v>
      </c>
      <c r="AN113" s="64">
        <f t="shared" si="57"/>
        <v>-5305888.84</v>
      </c>
      <c r="AO113" s="73">
        <f t="shared" si="58"/>
        <v>212715.82733333338</v>
      </c>
      <c r="AP113" s="73">
        <f t="shared" si="59"/>
        <v>97538.454533333352</v>
      </c>
    </row>
    <row r="114" spans="2:42" x14ac:dyDescent="0.25">
      <c r="B114" s="44" t="s">
        <v>463</v>
      </c>
      <c r="C114" s="45" t="s">
        <v>318</v>
      </c>
      <c r="D114" s="32" t="s">
        <v>464</v>
      </c>
      <c r="E114" s="45">
        <v>17</v>
      </c>
      <c r="F114" s="45" t="s">
        <v>320</v>
      </c>
      <c r="G114" s="33">
        <v>0.46797</v>
      </c>
      <c r="H114" s="34">
        <v>256</v>
      </c>
      <c r="I114" s="35" t="s">
        <v>465</v>
      </c>
      <c r="J114" s="36">
        <v>-4.849145</v>
      </c>
      <c r="K114" s="36">
        <v>-4.67462</v>
      </c>
      <c r="L114" s="53">
        <f t="shared" si="44"/>
        <v>-1241381.1200000001</v>
      </c>
      <c r="M114" s="53">
        <f t="shared" si="45"/>
        <v>44678.400000000009</v>
      </c>
      <c r="N114" s="53">
        <f t="shared" si="46"/>
        <v>-1196702.7200000002</v>
      </c>
      <c r="O114" s="36">
        <v>59.779294999999998</v>
      </c>
      <c r="P114" s="36">
        <v>15.268405</v>
      </c>
      <c r="Q114" s="36">
        <f t="shared" si="47"/>
        <v>0</v>
      </c>
      <c r="R114" s="36">
        <f t="shared" si="48"/>
        <v>0</v>
      </c>
      <c r="S114" s="36">
        <f>IF(C114&lt;&gt;"Offshore",0,IFERROR(VLOOKUP(D114,'Local Tariffs'!$A$4:$B$98,2,0),VLOOKUP(A114,'Local Tariffs'!$A$4:$B$98,2,0)))</f>
        <v>59.779294999999998</v>
      </c>
      <c r="T114" s="36">
        <f>IF(C114&lt;&gt;"Offshore",0,VLOOKUP(I114,'Local Tariffs'!$E$4:$F$38,2,0))</f>
        <v>15.268405</v>
      </c>
      <c r="U114" s="53">
        <f t="shared" si="49"/>
        <v>0</v>
      </c>
      <c r="V114" s="53">
        <f t="shared" si="50"/>
        <v>19212211.199999999</v>
      </c>
      <c r="W114" s="36">
        <v>70.373080000000002</v>
      </c>
      <c r="X114" s="37">
        <v>18015508.48</v>
      </c>
      <c r="Y114" s="37">
        <v>7.0000000298023224E-2</v>
      </c>
      <c r="Z114" s="38">
        <v>-4.67462</v>
      </c>
      <c r="AA114" s="39">
        <v>-1196702.72</v>
      </c>
      <c r="AB114" s="40">
        <v>255.94800000000001</v>
      </c>
      <c r="AC114" s="41">
        <v>-1196459.6399999999</v>
      </c>
      <c r="AD114" s="41">
        <v>243.08000000007451</v>
      </c>
      <c r="AE114" s="58">
        <f t="shared" si="51"/>
        <v>-4.67462</v>
      </c>
      <c r="AF114" s="58">
        <f t="shared" si="52"/>
        <v>0</v>
      </c>
      <c r="AG114" s="58">
        <f t="shared" si="53"/>
        <v>0</v>
      </c>
      <c r="AH114" s="41">
        <f t="shared" si="54"/>
        <v>243.08023999996493</v>
      </c>
      <c r="AI114" s="41">
        <f t="shared" si="55"/>
        <v>0</v>
      </c>
      <c r="AJ114" s="41">
        <f t="shared" si="56"/>
        <v>0</v>
      </c>
      <c r="AK114" s="42">
        <v>0</v>
      </c>
      <c r="AL114" s="41">
        <v>243.15000000037253</v>
      </c>
      <c r="AM114" s="41">
        <v>18015508.41</v>
      </c>
      <c r="AN114" s="64">
        <f t="shared" si="57"/>
        <v>18015751.560000002</v>
      </c>
      <c r="AO114" s="73">
        <f t="shared" si="58"/>
        <v>243.08023999996493</v>
      </c>
      <c r="AP114" s="73">
        <f t="shared" si="59"/>
        <v>0</v>
      </c>
    </row>
    <row r="115" spans="2:42" x14ac:dyDescent="0.25">
      <c r="B115" s="44" t="s">
        <v>466</v>
      </c>
      <c r="C115" s="45" t="s">
        <v>323</v>
      </c>
      <c r="D115" s="45" t="s">
        <v>324</v>
      </c>
      <c r="E115" s="45">
        <v>18</v>
      </c>
      <c r="F115" s="45" t="s">
        <v>340</v>
      </c>
      <c r="G115" s="33">
        <v>0.59252800000000005</v>
      </c>
      <c r="H115" s="34">
        <v>740</v>
      </c>
      <c r="I115" s="35" t="s">
        <v>356</v>
      </c>
      <c r="J115" s="36">
        <v>-4.849145</v>
      </c>
      <c r="K115" s="36">
        <v>-3.2081189999999999</v>
      </c>
      <c r="L115" s="53">
        <f t="shared" si="44"/>
        <v>-3588367.3</v>
      </c>
      <c r="M115" s="53">
        <f t="shared" si="45"/>
        <v>1214359.24</v>
      </c>
      <c r="N115" s="53">
        <f t="shared" si="46"/>
        <v>-2374008.0599999996</v>
      </c>
      <c r="O115" s="36">
        <v>0</v>
      </c>
      <c r="P115" s="36">
        <v>0.201402</v>
      </c>
      <c r="Q115" s="36">
        <f t="shared" si="47"/>
        <v>0</v>
      </c>
      <c r="R115" s="36">
        <f t="shared" si="48"/>
        <v>0.201402</v>
      </c>
      <c r="S115" s="36">
        <f>IF(C115&lt;&gt;"Offshore",0,IFERROR(VLOOKUP(D115,'Local Tariffs'!$A$4:$B$98,2,0),VLOOKUP(A115,'Local Tariffs'!$A$4:$B$98,2,0)))</f>
        <v>0</v>
      </c>
      <c r="T115" s="36">
        <f>IF(C115&lt;&gt;"Offshore",0,VLOOKUP(I115,'Local Tariffs'!$E$4:$F$38,2,0))</f>
        <v>0</v>
      </c>
      <c r="U115" s="53">
        <f t="shared" si="49"/>
        <v>149037.47999999998</v>
      </c>
      <c r="V115" s="53">
        <f t="shared" si="50"/>
        <v>0</v>
      </c>
      <c r="W115" s="36">
        <v>-3.0067170000000001</v>
      </c>
      <c r="X115" s="37">
        <v>-2224970.58</v>
      </c>
      <c r="Y115" s="37">
        <v>-0.28000000026077032</v>
      </c>
      <c r="Z115" s="38">
        <v>-3.2081189999999999</v>
      </c>
      <c r="AA115" s="39">
        <v>-2374008.06</v>
      </c>
      <c r="AB115" s="40">
        <v>707.32933333333347</v>
      </c>
      <c r="AC115" s="41">
        <v>-2269196.67</v>
      </c>
      <c r="AD115" s="41">
        <v>104811.39000000013</v>
      </c>
      <c r="AE115" s="58">
        <f t="shared" si="51"/>
        <v>-3.2081189999999999</v>
      </c>
      <c r="AF115" s="58">
        <f t="shared" si="52"/>
        <v>0</v>
      </c>
      <c r="AG115" s="58">
        <f t="shared" si="53"/>
        <v>0</v>
      </c>
      <c r="AH115" s="41">
        <f t="shared" si="54"/>
        <v>104811.38647599956</v>
      </c>
      <c r="AI115" s="41">
        <f t="shared" si="55"/>
        <v>0</v>
      </c>
      <c r="AJ115" s="41">
        <f t="shared" si="56"/>
        <v>0</v>
      </c>
      <c r="AK115" s="42">
        <v>0</v>
      </c>
      <c r="AL115" s="41">
        <v>104811.10999999987</v>
      </c>
      <c r="AM115" s="41">
        <v>-2224970.2999999998</v>
      </c>
      <c r="AN115" s="64">
        <f t="shared" si="57"/>
        <v>-2120159.19</v>
      </c>
      <c r="AO115" s="73">
        <f t="shared" si="58"/>
        <v>104811.38647599956</v>
      </c>
      <c r="AP115" s="73">
        <f t="shared" si="59"/>
        <v>0</v>
      </c>
    </row>
    <row r="116" spans="2:42" x14ac:dyDescent="0.25">
      <c r="B116" s="44" t="s">
        <v>467</v>
      </c>
      <c r="C116" s="45" t="s">
        <v>323</v>
      </c>
      <c r="D116" s="45" t="s">
        <v>467</v>
      </c>
      <c r="E116" s="45">
        <v>6</v>
      </c>
      <c r="F116" s="45" t="s">
        <v>333</v>
      </c>
      <c r="G116" s="33">
        <v>0.40073399999999998</v>
      </c>
      <c r="H116" s="34">
        <v>47</v>
      </c>
      <c r="I116" s="35" t="s">
        <v>321</v>
      </c>
      <c r="J116" s="36">
        <v>-4.849145</v>
      </c>
      <c r="K116" s="36">
        <v>8.085032</v>
      </c>
      <c r="L116" s="53">
        <f t="shared" si="44"/>
        <v>-227909.815</v>
      </c>
      <c r="M116" s="53">
        <f t="shared" si="45"/>
        <v>607906.31900000002</v>
      </c>
      <c r="N116" s="53">
        <f t="shared" si="46"/>
        <v>379996.50400000002</v>
      </c>
      <c r="O116" s="36">
        <v>0.37032599999999999</v>
      </c>
      <c r="P116" s="36">
        <v>0.203179</v>
      </c>
      <c r="Q116" s="36">
        <f t="shared" si="47"/>
        <v>0.37032599999999999</v>
      </c>
      <c r="R116" s="36">
        <f t="shared" si="48"/>
        <v>0.203179</v>
      </c>
      <c r="S116" s="36">
        <f>IF(C116&lt;&gt;"Offshore",0,IFERROR(VLOOKUP(D116,'Local Tariffs'!$A$4:$B$98,2,0),VLOOKUP(A116,'Local Tariffs'!$A$4:$B$98,2,0)))</f>
        <v>0</v>
      </c>
      <c r="T116" s="36">
        <f>IF(C116&lt;&gt;"Offshore",0,VLOOKUP(I116,'Local Tariffs'!$E$4:$F$38,2,0))</f>
        <v>0</v>
      </c>
      <c r="U116" s="53">
        <f t="shared" si="49"/>
        <v>26954.734999999997</v>
      </c>
      <c r="V116" s="53">
        <f t="shared" si="50"/>
        <v>0</v>
      </c>
      <c r="W116" s="36">
        <v>8.6585370000000008</v>
      </c>
      <c r="X116" s="37">
        <v>406951.24</v>
      </c>
      <c r="Y116" s="37">
        <v>2.0000000076834112E-2</v>
      </c>
      <c r="Z116" s="38">
        <v>0</v>
      </c>
      <c r="AA116" s="39">
        <v>0</v>
      </c>
      <c r="AB116" s="40">
        <v>0</v>
      </c>
      <c r="AC116" s="41">
        <v>0</v>
      </c>
      <c r="AD116" s="41">
        <v>0</v>
      </c>
      <c r="AE116" s="58">
        <f t="shared" si="51"/>
        <v>0</v>
      </c>
      <c r="AF116" s="58">
        <f t="shared" si="52"/>
        <v>0</v>
      </c>
      <c r="AG116" s="58">
        <f t="shared" si="53"/>
        <v>0</v>
      </c>
      <c r="AH116" s="41">
        <f t="shared" si="54"/>
        <v>0</v>
      </c>
      <c r="AI116" s="41">
        <f t="shared" si="55"/>
        <v>0</v>
      </c>
      <c r="AJ116" s="41">
        <f t="shared" si="56"/>
        <v>0</v>
      </c>
      <c r="AK116" s="42">
        <v>0</v>
      </c>
      <c r="AL116" s="41">
        <v>2.0000000076834112E-2</v>
      </c>
      <c r="AM116" s="41">
        <v>406951.21999999991</v>
      </c>
      <c r="AN116" s="64">
        <f t="shared" si="57"/>
        <v>406951.24</v>
      </c>
      <c r="AO116" s="73">
        <f t="shared" si="58"/>
        <v>0</v>
      </c>
      <c r="AP116" s="73">
        <f t="shared" si="59"/>
        <v>0</v>
      </c>
    </row>
    <row r="117" spans="2:42" x14ac:dyDescent="0.25">
      <c r="B117" s="45" t="s">
        <v>468</v>
      </c>
      <c r="C117" s="45" t="s">
        <v>323</v>
      </c>
      <c r="D117" s="45" t="s">
        <v>366</v>
      </c>
      <c r="E117" s="45">
        <v>1</v>
      </c>
      <c r="F117" s="45" t="s">
        <v>328</v>
      </c>
      <c r="G117" s="33">
        <v>0.31267800000000001</v>
      </c>
      <c r="H117" s="34">
        <v>69</v>
      </c>
      <c r="I117" s="35" t="s">
        <v>331</v>
      </c>
      <c r="J117" s="36">
        <v>-4.849145</v>
      </c>
      <c r="K117" s="36">
        <v>5.1466910000000023</v>
      </c>
      <c r="L117" s="53">
        <f t="shared" si="44"/>
        <v>-334591.005</v>
      </c>
      <c r="M117" s="53">
        <f t="shared" si="45"/>
        <v>689712.68400000024</v>
      </c>
      <c r="N117" s="53">
        <f t="shared" si="46"/>
        <v>355121.67900000024</v>
      </c>
      <c r="O117" s="36">
        <v>1.685397</v>
      </c>
      <c r="P117" s="36">
        <v>0.44758700000000001</v>
      </c>
      <c r="Q117" s="36">
        <f t="shared" si="47"/>
        <v>1.685397</v>
      </c>
      <c r="R117" s="36">
        <f t="shared" si="48"/>
        <v>0.44758700000000001</v>
      </c>
      <c r="S117" s="36">
        <f>IF(C117&lt;&gt;"Offshore",0,IFERROR(VLOOKUP(D117,'Local Tariffs'!$A$4:$B$98,2,0),VLOOKUP(A117,'Local Tariffs'!$A$4:$B$98,2,0)))</f>
        <v>0</v>
      </c>
      <c r="T117" s="36">
        <f>IF(C117&lt;&gt;"Offshore",0,VLOOKUP(I117,'Local Tariffs'!$E$4:$F$38,2,0))</f>
        <v>0</v>
      </c>
      <c r="U117" s="53">
        <f t="shared" si="49"/>
        <v>147175.89600000001</v>
      </c>
      <c r="V117" s="53">
        <f t="shared" si="50"/>
        <v>0</v>
      </c>
      <c r="W117" s="36">
        <v>7.2796750000000028</v>
      </c>
      <c r="X117" s="37">
        <v>502297.58</v>
      </c>
      <c r="Y117" s="37">
        <v>0</v>
      </c>
      <c r="Z117" s="38">
        <v>0</v>
      </c>
      <c r="AA117" s="39">
        <v>0</v>
      </c>
      <c r="AB117" s="40">
        <v>0</v>
      </c>
      <c r="AC117" s="41">
        <v>0</v>
      </c>
      <c r="AD117" s="41">
        <v>0</v>
      </c>
      <c r="AE117" s="58">
        <f t="shared" si="51"/>
        <v>0</v>
      </c>
      <c r="AF117" s="58">
        <f t="shared" si="52"/>
        <v>0</v>
      </c>
      <c r="AG117" s="58">
        <f t="shared" si="53"/>
        <v>0</v>
      </c>
      <c r="AH117" s="41">
        <f t="shared" si="54"/>
        <v>0</v>
      </c>
      <c r="AI117" s="41">
        <f t="shared" si="55"/>
        <v>0</v>
      </c>
      <c r="AJ117" s="41">
        <f t="shared" si="56"/>
        <v>0</v>
      </c>
      <c r="AK117" s="42">
        <v>1859.16</v>
      </c>
      <c r="AL117" s="41">
        <v>1859.16</v>
      </c>
      <c r="AM117" s="41">
        <v>502297.58</v>
      </c>
      <c r="AN117" s="64">
        <f t="shared" si="57"/>
        <v>504156.74</v>
      </c>
      <c r="AO117" s="73">
        <f t="shared" si="58"/>
        <v>0</v>
      </c>
      <c r="AP117" s="73">
        <f t="shared" si="59"/>
        <v>0</v>
      </c>
    </row>
    <row r="118" spans="2:42" x14ac:dyDescent="0.25">
      <c r="B118" s="44" t="s">
        <v>469</v>
      </c>
      <c r="C118" s="45" t="s">
        <v>318</v>
      </c>
      <c r="D118" s="45" t="s">
        <v>469</v>
      </c>
      <c r="E118" s="45">
        <v>24</v>
      </c>
      <c r="F118" s="45" t="s">
        <v>320</v>
      </c>
      <c r="G118" s="33">
        <v>0.56088000000000005</v>
      </c>
      <c r="H118" s="34">
        <v>630</v>
      </c>
      <c r="I118" s="35" t="s">
        <v>470</v>
      </c>
      <c r="J118" s="36">
        <v>-4.849145</v>
      </c>
      <c r="K118" s="36">
        <v>-3.2211620000000001</v>
      </c>
      <c r="L118" s="53">
        <f t="shared" si="44"/>
        <v>-3054961.35</v>
      </c>
      <c r="M118" s="53">
        <f t="shared" si="45"/>
        <v>1025629.29</v>
      </c>
      <c r="N118" s="53">
        <f t="shared" si="46"/>
        <v>-2029332.06</v>
      </c>
      <c r="O118" s="36">
        <v>35.465138000000003</v>
      </c>
      <c r="P118" s="36">
        <v>10.412718</v>
      </c>
      <c r="Q118" s="36">
        <f t="shared" si="47"/>
        <v>0</v>
      </c>
      <c r="R118" s="36">
        <f t="shared" si="48"/>
        <v>0</v>
      </c>
      <c r="S118" s="36">
        <f>IF(C118&lt;&gt;"Offshore",0,IFERROR(VLOOKUP(D118,'Local Tariffs'!$A$4:$B$98,2,0),VLOOKUP(A118,'Local Tariffs'!$A$4:$B$98,2,0)))</f>
        <v>35.465138000000003</v>
      </c>
      <c r="T118" s="36">
        <f>IF(C118&lt;&gt;"Offshore",0,VLOOKUP(I118,'Local Tariffs'!$E$4:$F$38,2,0))</f>
        <v>10.412718</v>
      </c>
      <c r="U118" s="53">
        <f t="shared" si="49"/>
        <v>0</v>
      </c>
      <c r="V118" s="53">
        <f t="shared" si="50"/>
        <v>28903049.279999997</v>
      </c>
      <c r="W118" s="36">
        <v>42.656694000000002</v>
      </c>
      <c r="X118" s="37">
        <v>26873717.219999999</v>
      </c>
      <c r="Y118" s="37">
        <v>0.11999999731779099</v>
      </c>
      <c r="Z118" s="38">
        <v>-3.2211620000000001</v>
      </c>
      <c r="AA118" s="39">
        <v>-2029332.06</v>
      </c>
      <c r="AB118" s="40">
        <v>624.31799999999998</v>
      </c>
      <c r="AC118" s="41">
        <v>-2011029.42</v>
      </c>
      <c r="AD118" s="41">
        <v>18302.64000000013</v>
      </c>
      <c r="AE118" s="58">
        <f t="shared" si="51"/>
        <v>-3.2211620000000001</v>
      </c>
      <c r="AF118" s="58">
        <f t="shared" si="52"/>
        <v>0</v>
      </c>
      <c r="AG118" s="58">
        <f t="shared" si="53"/>
        <v>0</v>
      </c>
      <c r="AH118" s="41">
        <f t="shared" si="54"/>
        <v>18302.642484000055</v>
      </c>
      <c r="AI118" s="41">
        <f t="shared" si="55"/>
        <v>0</v>
      </c>
      <c r="AJ118" s="41">
        <f t="shared" si="56"/>
        <v>0</v>
      </c>
      <c r="AK118" s="42">
        <v>130933.62</v>
      </c>
      <c r="AL118" s="41">
        <v>149236.37999999744</v>
      </c>
      <c r="AM118" s="41">
        <v>26873717.100000001</v>
      </c>
      <c r="AN118" s="64">
        <f t="shared" si="57"/>
        <v>27022953.48</v>
      </c>
      <c r="AO118" s="73">
        <f t="shared" si="58"/>
        <v>18302.642484000055</v>
      </c>
      <c r="AP118" s="73">
        <f t="shared" si="59"/>
        <v>0</v>
      </c>
    </row>
    <row r="119" spans="2:42" x14ac:dyDescent="0.25">
      <c r="B119" s="44" t="s">
        <v>471</v>
      </c>
      <c r="C119" s="45" t="s">
        <v>323</v>
      </c>
      <c r="D119" s="45" t="s">
        <v>471</v>
      </c>
      <c r="E119" s="45">
        <v>1</v>
      </c>
      <c r="F119" s="45" t="s">
        <v>333</v>
      </c>
      <c r="G119" s="33">
        <v>0.52392499999999997</v>
      </c>
      <c r="H119" s="34">
        <v>34</v>
      </c>
      <c r="I119" s="35" t="s">
        <v>321</v>
      </c>
      <c r="J119" s="36">
        <v>-4.849145</v>
      </c>
      <c r="K119" s="36">
        <v>12.313100999999998</v>
      </c>
      <c r="L119" s="53">
        <f t="shared" si="44"/>
        <v>-164870.93</v>
      </c>
      <c r="M119" s="53">
        <f t="shared" si="45"/>
        <v>583516.36399999983</v>
      </c>
      <c r="N119" s="53">
        <f t="shared" si="46"/>
        <v>418645.43399999983</v>
      </c>
      <c r="O119" s="36">
        <v>0.58209</v>
      </c>
      <c r="P119" s="36">
        <v>0.203179</v>
      </c>
      <c r="Q119" s="36">
        <f t="shared" si="47"/>
        <v>0.58209</v>
      </c>
      <c r="R119" s="36">
        <f t="shared" si="48"/>
        <v>0.203179</v>
      </c>
      <c r="S119" s="36">
        <f>IF(C119&lt;&gt;"Offshore",0,IFERROR(VLOOKUP(D119,'Local Tariffs'!$A$4:$B$98,2,0),VLOOKUP(A119,'Local Tariffs'!$A$4:$B$98,2,0)))</f>
        <v>0</v>
      </c>
      <c r="T119" s="36">
        <f>IF(C119&lt;&gt;"Offshore",0,VLOOKUP(I119,'Local Tariffs'!$E$4:$F$38,2,0))</f>
        <v>0</v>
      </c>
      <c r="U119" s="53">
        <f t="shared" si="49"/>
        <v>26699.146000000001</v>
      </c>
      <c r="V119" s="53">
        <f t="shared" si="50"/>
        <v>0</v>
      </c>
      <c r="W119" s="36">
        <v>13.098369999999997</v>
      </c>
      <c r="X119" s="37">
        <v>445344.58</v>
      </c>
      <c r="Y119" s="37">
        <v>0</v>
      </c>
      <c r="Z119" s="38">
        <v>0</v>
      </c>
      <c r="AA119" s="39">
        <v>0</v>
      </c>
      <c r="AB119" s="40">
        <v>0</v>
      </c>
      <c r="AC119" s="41">
        <v>0</v>
      </c>
      <c r="AD119" s="41">
        <v>0</v>
      </c>
      <c r="AE119" s="58">
        <f t="shared" si="51"/>
        <v>0</v>
      </c>
      <c r="AF119" s="58">
        <f t="shared" si="52"/>
        <v>0</v>
      </c>
      <c r="AG119" s="58">
        <f t="shared" si="53"/>
        <v>0</v>
      </c>
      <c r="AH119" s="41">
        <f t="shared" si="54"/>
        <v>0</v>
      </c>
      <c r="AI119" s="41">
        <f t="shared" si="55"/>
        <v>0</v>
      </c>
      <c r="AJ119" s="41">
        <f t="shared" si="56"/>
        <v>0</v>
      </c>
      <c r="AK119" s="42">
        <v>380.28</v>
      </c>
      <c r="AL119" s="41">
        <v>380.28</v>
      </c>
      <c r="AM119" s="41">
        <v>445344.5799999999</v>
      </c>
      <c r="AN119" s="64">
        <f t="shared" si="57"/>
        <v>445724.85999999993</v>
      </c>
      <c r="AO119" s="73">
        <f t="shared" si="58"/>
        <v>0</v>
      </c>
      <c r="AP119" s="73">
        <f t="shared" si="59"/>
        <v>0</v>
      </c>
    </row>
    <row r="120" spans="2:42" x14ac:dyDescent="0.25">
      <c r="B120" s="44" t="s">
        <v>472</v>
      </c>
      <c r="C120" s="45" t="s">
        <v>2</v>
      </c>
      <c r="D120" s="45" t="s">
        <v>324</v>
      </c>
      <c r="E120" s="45">
        <v>13</v>
      </c>
      <c r="F120" s="45" t="s">
        <v>451</v>
      </c>
      <c r="G120" s="33">
        <v>0.42188799999999999</v>
      </c>
      <c r="H120" s="34">
        <v>396</v>
      </c>
      <c r="I120" s="35" t="s">
        <v>364</v>
      </c>
      <c r="J120" s="36">
        <v>-4.849145</v>
      </c>
      <c r="K120" s="36">
        <v>3.3296678700159994</v>
      </c>
      <c r="L120" s="53">
        <f t="shared" si="44"/>
        <v>-1920261.4200000002</v>
      </c>
      <c r="M120" s="53">
        <f t="shared" si="45"/>
        <v>3238809.8965263357</v>
      </c>
      <c r="N120" s="53">
        <f t="shared" si="46"/>
        <v>1318548.4765263356</v>
      </c>
      <c r="O120" s="36">
        <v>0</v>
      </c>
      <c r="P120" s="36">
        <v>0</v>
      </c>
      <c r="Q120" s="36">
        <f t="shared" si="47"/>
        <v>0</v>
      </c>
      <c r="R120" s="36">
        <f t="shared" si="48"/>
        <v>0</v>
      </c>
      <c r="S120" s="36">
        <f>IF(C120&lt;&gt;"Offshore",0,IFERROR(VLOOKUP(D120,'Local Tariffs'!$A$4:$B$98,2,0),VLOOKUP(A120,'Local Tariffs'!$A$4:$B$98,2,0)))</f>
        <v>0</v>
      </c>
      <c r="T120" s="36">
        <f>IF(C120&lt;&gt;"Offshore",0,VLOOKUP(I120,'Local Tariffs'!$E$4:$F$38,2,0))</f>
        <v>0</v>
      </c>
      <c r="U120" s="53">
        <f t="shared" si="49"/>
        <v>0</v>
      </c>
      <c r="V120" s="53">
        <f t="shared" si="50"/>
        <v>0</v>
      </c>
      <c r="W120" s="36">
        <v>3.3296678700159994</v>
      </c>
      <c r="X120" s="37">
        <v>1318548.48</v>
      </c>
      <c r="Y120" s="37">
        <v>0.15999999991618097</v>
      </c>
      <c r="Z120" s="38">
        <v>0</v>
      </c>
      <c r="AA120" s="39">
        <v>0</v>
      </c>
      <c r="AB120" s="40">
        <v>0</v>
      </c>
      <c r="AC120" s="41">
        <v>0</v>
      </c>
      <c r="AD120" s="41">
        <v>0</v>
      </c>
      <c r="AE120" s="58">
        <f t="shared" si="51"/>
        <v>0</v>
      </c>
      <c r="AF120" s="58">
        <f t="shared" si="52"/>
        <v>0</v>
      </c>
      <c r="AG120" s="58">
        <f t="shared" si="53"/>
        <v>0</v>
      </c>
      <c r="AH120" s="41">
        <f t="shared" si="54"/>
        <v>0</v>
      </c>
      <c r="AI120" s="41">
        <f t="shared" si="55"/>
        <v>0</v>
      </c>
      <c r="AJ120" s="41">
        <f t="shared" si="56"/>
        <v>0</v>
      </c>
      <c r="AK120" s="42">
        <v>0</v>
      </c>
      <c r="AL120" s="41">
        <v>0.15999999991618097</v>
      </c>
      <c r="AM120" s="41">
        <v>1318548.32</v>
      </c>
      <c r="AN120" s="64">
        <f t="shared" si="57"/>
        <v>1318548.48</v>
      </c>
      <c r="AO120" s="73">
        <f t="shared" si="58"/>
        <v>0</v>
      </c>
      <c r="AP120" s="73">
        <f t="shared" si="59"/>
        <v>0</v>
      </c>
    </row>
    <row r="121" spans="2:42" x14ac:dyDescent="0.25">
      <c r="B121" s="44" t="s">
        <v>473</v>
      </c>
      <c r="C121" s="45" t="s">
        <v>323</v>
      </c>
      <c r="D121" s="45" t="s">
        <v>473</v>
      </c>
      <c r="E121" s="45">
        <v>26</v>
      </c>
      <c r="F121" s="45" t="s">
        <v>340</v>
      </c>
      <c r="G121" s="33">
        <v>0.68681700000000001</v>
      </c>
      <c r="H121" s="34">
        <v>920</v>
      </c>
      <c r="I121" s="35" t="s">
        <v>356</v>
      </c>
      <c r="J121" s="36">
        <v>-4.849145</v>
      </c>
      <c r="K121" s="36">
        <v>-8.854908</v>
      </c>
      <c r="L121" s="53">
        <f t="shared" si="44"/>
        <v>-4461213.3999999994</v>
      </c>
      <c r="M121" s="53">
        <f t="shared" si="45"/>
        <v>-3685301.96</v>
      </c>
      <c r="N121" s="53">
        <f t="shared" si="46"/>
        <v>-8146515.3599999994</v>
      </c>
      <c r="O121" s="36">
        <v>0.38620900000000002</v>
      </c>
      <c r="P121" s="36">
        <v>0.201402</v>
      </c>
      <c r="Q121" s="36">
        <f t="shared" si="47"/>
        <v>0.38620900000000002</v>
      </c>
      <c r="R121" s="36">
        <f t="shared" si="48"/>
        <v>0.201402</v>
      </c>
      <c r="S121" s="36">
        <f>IF(C121&lt;&gt;"Offshore",0,IFERROR(VLOOKUP(D121,'Local Tariffs'!$A$4:$B$98,2,0),VLOOKUP(A121,'Local Tariffs'!$A$4:$B$98,2,0)))</f>
        <v>0</v>
      </c>
      <c r="T121" s="36">
        <f>IF(C121&lt;&gt;"Offshore",0,VLOOKUP(I121,'Local Tariffs'!$E$4:$F$38,2,0))</f>
        <v>0</v>
      </c>
      <c r="U121" s="53">
        <f t="shared" si="49"/>
        <v>540602.12</v>
      </c>
      <c r="V121" s="53">
        <f t="shared" si="50"/>
        <v>0</v>
      </c>
      <c r="W121" s="36">
        <v>-8.267297000000001</v>
      </c>
      <c r="X121" s="37">
        <v>-7605913.2400000002</v>
      </c>
      <c r="Y121" s="37">
        <v>-0.17000000085681677</v>
      </c>
      <c r="Z121" s="38">
        <v>-8.854908</v>
      </c>
      <c r="AA121" s="39">
        <v>-8146515.3600000003</v>
      </c>
      <c r="AB121" s="40">
        <v>896.13333333333333</v>
      </c>
      <c r="AC121" s="41">
        <v>-7935178.2199999997</v>
      </c>
      <c r="AD121" s="41">
        <v>211337.1400000006</v>
      </c>
      <c r="AE121" s="58">
        <f t="shared" si="51"/>
        <v>-8.854908</v>
      </c>
      <c r="AF121" s="58">
        <f t="shared" si="52"/>
        <v>0</v>
      </c>
      <c r="AG121" s="58">
        <f t="shared" si="53"/>
        <v>0</v>
      </c>
      <c r="AH121" s="41">
        <f t="shared" si="54"/>
        <v>211337.13760000007</v>
      </c>
      <c r="AI121" s="41">
        <f t="shared" si="55"/>
        <v>0</v>
      </c>
      <c r="AJ121" s="41">
        <f t="shared" si="56"/>
        <v>0</v>
      </c>
      <c r="AK121" s="42">
        <v>0</v>
      </c>
      <c r="AL121" s="41">
        <v>211336.96999999974</v>
      </c>
      <c r="AM121" s="41">
        <v>-7605913.0699999994</v>
      </c>
      <c r="AN121" s="64">
        <f t="shared" si="57"/>
        <v>-7394576.0999999996</v>
      </c>
      <c r="AO121" s="73">
        <f t="shared" si="58"/>
        <v>115732.92733333337</v>
      </c>
      <c r="AP121" s="73">
        <f t="shared" si="59"/>
        <v>95604.210266666691</v>
      </c>
    </row>
    <row r="122" spans="2:42" x14ac:dyDescent="0.25">
      <c r="B122" s="44" t="s">
        <v>474</v>
      </c>
      <c r="C122" s="45" t="s">
        <v>323</v>
      </c>
      <c r="D122" s="45" t="s">
        <v>474</v>
      </c>
      <c r="E122" s="45">
        <v>10</v>
      </c>
      <c r="F122" s="45" t="s">
        <v>328</v>
      </c>
      <c r="G122" s="33">
        <v>0.28850799999999999</v>
      </c>
      <c r="H122" s="34">
        <v>53</v>
      </c>
      <c r="I122" s="35" t="s">
        <v>359</v>
      </c>
      <c r="J122" s="36">
        <v>-4.849145</v>
      </c>
      <c r="K122" s="36">
        <v>10.261317</v>
      </c>
      <c r="L122" s="53">
        <f t="shared" si="44"/>
        <v>-257004.685</v>
      </c>
      <c r="M122" s="53">
        <f t="shared" si="45"/>
        <v>800854.48599999992</v>
      </c>
      <c r="N122" s="53">
        <f t="shared" si="46"/>
        <v>543849.80099999998</v>
      </c>
      <c r="O122" s="36">
        <v>0.88605599999999995</v>
      </c>
      <c r="P122" s="36">
        <v>0.116232</v>
      </c>
      <c r="Q122" s="36">
        <f t="shared" si="47"/>
        <v>0.88605599999999995</v>
      </c>
      <c r="R122" s="36">
        <f t="shared" si="48"/>
        <v>0.116232</v>
      </c>
      <c r="S122" s="36">
        <f>IF(C122&lt;&gt;"Offshore",0,IFERROR(VLOOKUP(D122,'Local Tariffs'!$A$4:$B$98,2,0),VLOOKUP(A122,'Local Tariffs'!$A$4:$B$98,2,0)))</f>
        <v>0</v>
      </c>
      <c r="T122" s="36">
        <f>IF(C122&lt;&gt;"Offshore",0,VLOOKUP(I122,'Local Tariffs'!$E$4:$F$38,2,0))</f>
        <v>0</v>
      </c>
      <c r="U122" s="53">
        <f t="shared" si="49"/>
        <v>53121.264000000003</v>
      </c>
      <c r="V122" s="53">
        <f t="shared" si="50"/>
        <v>0</v>
      </c>
      <c r="W122" s="36">
        <v>11.263605</v>
      </c>
      <c r="X122" s="37">
        <v>596971.06999999995</v>
      </c>
      <c r="Y122" s="37">
        <v>2.9999999911524355E-2</v>
      </c>
      <c r="Z122" s="38">
        <v>0</v>
      </c>
      <c r="AA122" s="39">
        <v>0</v>
      </c>
      <c r="AB122" s="40">
        <v>0</v>
      </c>
      <c r="AC122" s="41">
        <v>0</v>
      </c>
      <c r="AD122" s="41">
        <v>0</v>
      </c>
      <c r="AE122" s="58">
        <f t="shared" si="51"/>
        <v>0</v>
      </c>
      <c r="AF122" s="58">
        <f t="shared" si="52"/>
        <v>0</v>
      </c>
      <c r="AG122" s="58">
        <f t="shared" si="53"/>
        <v>0</v>
      </c>
      <c r="AH122" s="41">
        <f t="shared" si="54"/>
        <v>0</v>
      </c>
      <c r="AI122" s="41">
        <f t="shared" si="55"/>
        <v>0</v>
      </c>
      <c r="AJ122" s="41">
        <f t="shared" si="56"/>
        <v>0</v>
      </c>
      <c r="AK122" s="42">
        <v>0</v>
      </c>
      <c r="AL122" s="41">
        <v>2.9999999911524355E-2</v>
      </c>
      <c r="AM122" s="41">
        <v>596971.04</v>
      </c>
      <c r="AN122" s="64">
        <f t="shared" si="57"/>
        <v>596971.06999999995</v>
      </c>
      <c r="AO122" s="73">
        <f t="shared" si="58"/>
        <v>0</v>
      </c>
      <c r="AP122" s="73">
        <f t="shared" si="59"/>
        <v>0</v>
      </c>
    </row>
    <row r="123" spans="2:42" x14ac:dyDescent="0.25">
      <c r="B123" s="44" t="s">
        <v>475</v>
      </c>
      <c r="C123" s="45" t="s">
        <v>323</v>
      </c>
      <c r="D123" s="45" t="s">
        <v>324</v>
      </c>
      <c r="E123" s="45">
        <v>24</v>
      </c>
      <c r="F123" s="45" t="s">
        <v>340</v>
      </c>
      <c r="G123" s="33">
        <v>0.32475599999999999</v>
      </c>
      <c r="H123" s="34">
        <v>735</v>
      </c>
      <c r="I123" s="35" t="s">
        <v>362</v>
      </c>
      <c r="J123" s="36">
        <v>-4.849145</v>
      </c>
      <c r="K123" s="36">
        <v>-7.7134819999999999</v>
      </c>
      <c r="L123" s="53">
        <f t="shared" si="44"/>
        <v>-3564121.5750000002</v>
      </c>
      <c r="M123" s="53">
        <f t="shared" si="45"/>
        <v>-2105287.6949999998</v>
      </c>
      <c r="N123" s="53">
        <f t="shared" si="46"/>
        <v>-5669409.2699999996</v>
      </c>
      <c r="O123" s="36">
        <v>0</v>
      </c>
      <c r="P123" s="36">
        <v>0.43671900000000002</v>
      </c>
      <c r="Q123" s="36">
        <f t="shared" si="47"/>
        <v>0</v>
      </c>
      <c r="R123" s="36">
        <f t="shared" si="48"/>
        <v>0.43671900000000002</v>
      </c>
      <c r="S123" s="36">
        <f>IF(C123&lt;&gt;"Offshore",0,IFERROR(VLOOKUP(D123,'Local Tariffs'!$A$4:$B$98,2,0),VLOOKUP(A123,'Local Tariffs'!$A$4:$B$98,2,0)))</f>
        <v>0</v>
      </c>
      <c r="T123" s="36">
        <f>IF(C123&lt;&gt;"Offshore",0,VLOOKUP(I123,'Local Tariffs'!$E$4:$F$38,2,0))</f>
        <v>0</v>
      </c>
      <c r="U123" s="53">
        <f t="shared" si="49"/>
        <v>320988.46500000003</v>
      </c>
      <c r="V123" s="53">
        <f t="shared" si="50"/>
        <v>0</v>
      </c>
      <c r="W123" s="36">
        <v>-7.2767629999999999</v>
      </c>
      <c r="X123" s="37">
        <v>-5348420.8099999996</v>
      </c>
      <c r="Y123" s="37">
        <v>0.10000000149011612</v>
      </c>
      <c r="Z123" s="38">
        <v>-7.7134819999999999</v>
      </c>
      <c r="AA123" s="39">
        <v>-5669409.2699999996</v>
      </c>
      <c r="AB123" s="40">
        <v>710.52</v>
      </c>
      <c r="AC123" s="41">
        <v>-5480583.2300000004</v>
      </c>
      <c r="AD123" s="41">
        <v>188826.03999999911</v>
      </c>
      <c r="AE123" s="58">
        <f t="shared" si="51"/>
        <v>-7.7134819999999999</v>
      </c>
      <c r="AF123" s="58">
        <f t="shared" si="52"/>
        <v>0</v>
      </c>
      <c r="AG123" s="58">
        <f t="shared" si="53"/>
        <v>0</v>
      </c>
      <c r="AH123" s="41">
        <f t="shared" si="54"/>
        <v>188826.03936000014</v>
      </c>
      <c r="AI123" s="41">
        <f t="shared" si="55"/>
        <v>0</v>
      </c>
      <c r="AJ123" s="41">
        <f t="shared" si="56"/>
        <v>0</v>
      </c>
      <c r="AK123" s="42">
        <v>0</v>
      </c>
      <c r="AL123" s="41">
        <v>188826.1400000006</v>
      </c>
      <c r="AM123" s="41">
        <v>-5348420.9100000011</v>
      </c>
      <c r="AN123" s="64">
        <f t="shared" si="57"/>
        <v>-5159594.7700000005</v>
      </c>
      <c r="AO123" s="73">
        <f t="shared" si="58"/>
        <v>118707.06960000008</v>
      </c>
      <c r="AP123" s="73">
        <f t="shared" si="59"/>
        <v>70118.969760000051</v>
      </c>
    </row>
    <row r="124" spans="2:42" x14ac:dyDescent="0.25">
      <c r="B124" s="44" t="s">
        <v>476</v>
      </c>
      <c r="C124" s="45" t="s">
        <v>323</v>
      </c>
      <c r="D124" s="45" t="s">
        <v>476</v>
      </c>
      <c r="E124" s="45">
        <v>11</v>
      </c>
      <c r="F124" s="45" t="s">
        <v>328</v>
      </c>
      <c r="G124" s="33">
        <v>0.33566299999999999</v>
      </c>
      <c r="H124" s="34">
        <v>51</v>
      </c>
      <c r="I124" s="35" t="s">
        <v>321</v>
      </c>
      <c r="J124" s="36">
        <v>-4.849145</v>
      </c>
      <c r="K124" s="36">
        <v>-6.3083049999999989</v>
      </c>
      <c r="L124" s="53">
        <f t="shared" si="44"/>
        <v>-247306.39500000002</v>
      </c>
      <c r="M124" s="53">
        <f t="shared" si="45"/>
        <v>-74417.159999999945</v>
      </c>
      <c r="N124" s="53">
        <f t="shared" si="46"/>
        <v>-321723.55499999993</v>
      </c>
      <c r="O124" s="36">
        <v>2.0059330000000002</v>
      </c>
      <c r="P124" s="36">
        <v>0.203179</v>
      </c>
      <c r="Q124" s="36">
        <f t="shared" si="47"/>
        <v>2.0059330000000002</v>
      </c>
      <c r="R124" s="36">
        <f t="shared" si="48"/>
        <v>0.203179</v>
      </c>
      <c r="S124" s="36">
        <f>IF(C124&lt;&gt;"Offshore",0,IFERROR(VLOOKUP(D124,'Local Tariffs'!$A$4:$B$98,2,0),VLOOKUP(A124,'Local Tariffs'!$A$4:$B$98,2,0)))</f>
        <v>0</v>
      </c>
      <c r="T124" s="36">
        <f>IF(C124&lt;&gt;"Offshore",0,VLOOKUP(I124,'Local Tariffs'!$E$4:$F$38,2,0))</f>
        <v>0</v>
      </c>
      <c r="U124" s="53">
        <f t="shared" si="49"/>
        <v>112664.71200000001</v>
      </c>
      <c r="V124" s="53">
        <f t="shared" si="50"/>
        <v>0</v>
      </c>
      <c r="W124" s="36">
        <v>-4.0991929999999979</v>
      </c>
      <c r="X124" s="37">
        <v>-209058.84</v>
      </c>
      <c r="Y124" s="37">
        <v>0</v>
      </c>
      <c r="Z124" s="38">
        <v>-6.3083049999999989</v>
      </c>
      <c r="AA124" s="39">
        <v>-321723.56</v>
      </c>
      <c r="AB124" s="40">
        <v>50.580666666666673</v>
      </c>
      <c r="AC124" s="41">
        <v>-319078.27</v>
      </c>
      <c r="AD124" s="41">
        <v>2645.289999999979</v>
      </c>
      <c r="AE124" s="58">
        <f t="shared" si="51"/>
        <v>-6.3083049999999989</v>
      </c>
      <c r="AF124" s="58">
        <f t="shared" si="52"/>
        <v>0</v>
      </c>
      <c r="AG124" s="58">
        <f t="shared" si="53"/>
        <v>0</v>
      </c>
      <c r="AH124" s="41">
        <f t="shared" si="54"/>
        <v>2645.2825633332936</v>
      </c>
      <c r="AI124" s="41">
        <f t="shared" si="55"/>
        <v>0</v>
      </c>
      <c r="AJ124" s="41">
        <f t="shared" si="56"/>
        <v>0</v>
      </c>
      <c r="AK124" s="42">
        <v>0</v>
      </c>
      <c r="AL124" s="41">
        <v>2645.289999999979</v>
      </c>
      <c r="AM124" s="41">
        <v>-209058.84000000005</v>
      </c>
      <c r="AN124" s="64">
        <f t="shared" si="57"/>
        <v>-206413.55000000008</v>
      </c>
      <c r="AO124" s="73">
        <f t="shared" si="58"/>
        <v>2033.4081366666364</v>
      </c>
      <c r="AP124" s="73">
        <f t="shared" si="59"/>
        <v>611.8744266666572</v>
      </c>
    </row>
    <row r="125" spans="2:42" x14ac:dyDescent="0.25">
      <c r="B125" s="44" t="s">
        <v>477</v>
      </c>
      <c r="C125" s="45" t="s">
        <v>323</v>
      </c>
      <c r="D125" s="45" t="s">
        <v>477</v>
      </c>
      <c r="E125" s="45">
        <v>3</v>
      </c>
      <c r="F125" s="45" t="s">
        <v>328</v>
      </c>
      <c r="G125" s="33">
        <v>0.51772099999999999</v>
      </c>
      <c r="H125" s="34">
        <v>65</v>
      </c>
      <c r="I125" s="35" t="s">
        <v>321</v>
      </c>
      <c r="J125" s="36">
        <v>-4.849145</v>
      </c>
      <c r="K125" s="36">
        <v>8.481872000000001</v>
      </c>
      <c r="L125" s="53">
        <f t="shared" si="44"/>
        <v>-315194.42500000005</v>
      </c>
      <c r="M125" s="53">
        <f t="shared" si="45"/>
        <v>866516.10499999998</v>
      </c>
      <c r="N125" s="53">
        <f t="shared" si="46"/>
        <v>551321.67999999993</v>
      </c>
      <c r="O125" s="36">
        <v>1.8482160000000001</v>
      </c>
      <c r="P125" s="36">
        <v>0.203179</v>
      </c>
      <c r="Q125" s="36">
        <f t="shared" si="47"/>
        <v>1.8482160000000001</v>
      </c>
      <c r="R125" s="36">
        <f t="shared" si="48"/>
        <v>0.203179</v>
      </c>
      <c r="S125" s="36">
        <f>IF(C125&lt;&gt;"Offshore",0,IFERROR(VLOOKUP(D125,'Local Tariffs'!$A$4:$B$98,2,0),VLOOKUP(A125,'Local Tariffs'!$A$4:$B$98,2,0)))</f>
        <v>0</v>
      </c>
      <c r="T125" s="36">
        <f>IF(C125&lt;&gt;"Offshore",0,VLOOKUP(I125,'Local Tariffs'!$E$4:$F$38,2,0))</f>
        <v>0</v>
      </c>
      <c r="U125" s="53">
        <f t="shared" si="49"/>
        <v>133340.67500000005</v>
      </c>
      <c r="V125" s="53">
        <f t="shared" si="50"/>
        <v>0</v>
      </c>
      <c r="W125" s="36">
        <v>10.533267000000002</v>
      </c>
      <c r="X125" s="37">
        <v>684662.36</v>
      </c>
      <c r="Y125" s="37">
        <v>1.0000000125728548E-2</v>
      </c>
      <c r="Z125" s="38">
        <v>0</v>
      </c>
      <c r="AA125" s="39">
        <v>0</v>
      </c>
      <c r="AB125" s="40">
        <v>0</v>
      </c>
      <c r="AC125" s="41">
        <v>0</v>
      </c>
      <c r="AD125" s="41">
        <v>0</v>
      </c>
      <c r="AE125" s="58">
        <f t="shared" si="51"/>
        <v>0</v>
      </c>
      <c r="AF125" s="58">
        <f t="shared" si="52"/>
        <v>0</v>
      </c>
      <c r="AG125" s="58">
        <f t="shared" si="53"/>
        <v>0</v>
      </c>
      <c r="AH125" s="41">
        <f t="shared" si="54"/>
        <v>0</v>
      </c>
      <c r="AI125" s="41">
        <f t="shared" si="55"/>
        <v>0</v>
      </c>
      <c r="AJ125" s="41">
        <f t="shared" si="56"/>
        <v>0</v>
      </c>
      <c r="AK125" s="42">
        <v>0</v>
      </c>
      <c r="AL125" s="41">
        <v>1.0000000125728548E-2</v>
      </c>
      <c r="AM125" s="41">
        <v>684662.34999999986</v>
      </c>
      <c r="AN125" s="64">
        <f t="shared" si="57"/>
        <v>684662.36</v>
      </c>
      <c r="AO125" s="73">
        <f t="shared" si="58"/>
        <v>0</v>
      </c>
      <c r="AP125" s="73">
        <f t="shared" si="59"/>
        <v>0</v>
      </c>
    </row>
    <row r="126" spans="2:42" x14ac:dyDescent="0.25">
      <c r="B126" s="44" t="s">
        <v>478</v>
      </c>
      <c r="C126" s="45" t="s">
        <v>323</v>
      </c>
      <c r="D126" s="45" t="s">
        <v>479</v>
      </c>
      <c r="E126" s="45">
        <v>12</v>
      </c>
      <c r="F126" s="45" t="s">
        <v>328</v>
      </c>
      <c r="G126" s="33">
        <v>0.33029999999999998</v>
      </c>
      <c r="H126" s="34">
        <v>25</v>
      </c>
      <c r="I126" s="35" t="s">
        <v>321</v>
      </c>
      <c r="J126" s="36">
        <v>-4.849145</v>
      </c>
      <c r="K126" s="36">
        <v>-7.4391869999999987</v>
      </c>
      <c r="L126" s="53">
        <f t="shared" si="44"/>
        <v>-121228.625</v>
      </c>
      <c r="M126" s="53">
        <f t="shared" si="45"/>
        <v>-64751.049999999967</v>
      </c>
      <c r="N126" s="53">
        <f t="shared" si="46"/>
        <v>-185979.67499999996</v>
      </c>
      <c r="O126" s="36">
        <v>0.18926200000000001</v>
      </c>
      <c r="P126" s="36">
        <v>0.203179</v>
      </c>
      <c r="Q126" s="36">
        <f t="shared" si="47"/>
        <v>0.18926200000000001</v>
      </c>
      <c r="R126" s="36">
        <f t="shared" si="48"/>
        <v>0.203179</v>
      </c>
      <c r="S126" s="36">
        <f>IF(C126&lt;&gt;"Offshore",0,IFERROR(VLOOKUP(D126,'Local Tariffs'!$A$4:$B$98,2,0),VLOOKUP(A126,'Local Tariffs'!$A$4:$B$98,2,0)))</f>
        <v>0</v>
      </c>
      <c r="T126" s="36">
        <f>IF(C126&lt;&gt;"Offshore",0,VLOOKUP(I126,'Local Tariffs'!$E$4:$F$38,2,0))</f>
        <v>0</v>
      </c>
      <c r="U126" s="53">
        <f t="shared" si="49"/>
        <v>9811.0250000000015</v>
      </c>
      <c r="V126" s="53">
        <f t="shared" si="50"/>
        <v>0</v>
      </c>
      <c r="W126" s="36">
        <v>-7.0467459999999988</v>
      </c>
      <c r="X126" s="37">
        <v>-176168.65</v>
      </c>
      <c r="Y126" s="37">
        <v>-1.0000000009313226E-2</v>
      </c>
      <c r="Z126" s="38">
        <v>-7.4391869999999987</v>
      </c>
      <c r="AA126" s="39">
        <v>-185979.68</v>
      </c>
      <c r="AB126" s="40">
        <v>25</v>
      </c>
      <c r="AC126" s="41">
        <v>-185979.68</v>
      </c>
      <c r="AD126" s="41">
        <v>0</v>
      </c>
      <c r="AE126" s="58">
        <f t="shared" si="51"/>
        <v>-7.4391869999999987</v>
      </c>
      <c r="AF126" s="58">
        <f t="shared" si="52"/>
        <v>0</v>
      </c>
      <c r="AG126" s="58">
        <f t="shared" si="53"/>
        <v>0</v>
      </c>
      <c r="AH126" s="41">
        <f t="shared" si="54"/>
        <v>0</v>
      </c>
      <c r="AI126" s="41">
        <f t="shared" si="55"/>
        <v>0</v>
      </c>
      <c r="AJ126" s="41">
        <f t="shared" si="56"/>
        <v>0</v>
      </c>
      <c r="AK126" s="42">
        <v>0</v>
      </c>
      <c r="AL126" s="41">
        <v>-1.0000000009313226E-2</v>
      </c>
      <c r="AM126" s="41">
        <v>-176168.63999999998</v>
      </c>
      <c r="AN126" s="64">
        <f t="shared" si="57"/>
        <v>-176168.65</v>
      </c>
      <c r="AO126" s="73">
        <f t="shared" si="58"/>
        <v>0</v>
      </c>
      <c r="AP126" s="73">
        <f t="shared" si="59"/>
        <v>0</v>
      </c>
    </row>
    <row r="127" spans="2:42" x14ac:dyDescent="0.25">
      <c r="B127" s="44" t="s">
        <v>480</v>
      </c>
      <c r="C127" s="45" t="s">
        <v>323</v>
      </c>
      <c r="D127" s="45" t="s">
        <v>480</v>
      </c>
      <c r="E127" s="45">
        <v>1</v>
      </c>
      <c r="F127" s="45" t="s">
        <v>333</v>
      </c>
      <c r="G127" s="33">
        <v>0.52392499999999997</v>
      </c>
      <c r="H127" s="34">
        <v>18.7</v>
      </c>
      <c r="I127" s="35" t="s">
        <v>321</v>
      </c>
      <c r="J127" s="36">
        <v>-4.849145</v>
      </c>
      <c r="K127" s="36">
        <v>12.313100999999998</v>
      </c>
      <c r="L127" s="53">
        <f t="shared" si="44"/>
        <v>-90679.011500000008</v>
      </c>
      <c r="M127" s="53">
        <f t="shared" si="45"/>
        <v>320934.00019999989</v>
      </c>
      <c r="N127" s="53">
        <f t="shared" si="46"/>
        <v>230254.98869999987</v>
      </c>
      <c r="O127" s="36">
        <v>2.915511</v>
      </c>
      <c r="P127" s="36">
        <v>0.203179</v>
      </c>
      <c r="Q127" s="36">
        <f t="shared" si="47"/>
        <v>2.915511</v>
      </c>
      <c r="R127" s="36">
        <f t="shared" si="48"/>
        <v>0.203179</v>
      </c>
      <c r="S127" s="36">
        <f>IF(C127&lt;&gt;"Offshore",0,IFERROR(VLOOKUP(D127,'Local Tariffs'!$A$4:$B$98,2,0),VLOOKUP(A127,'Local Tariffs'!$A$4:$B$98,2,0)))</f>
        <v>0</v>
      </c>
      <c r="T127" s="36">
        <f>IF(C127&lt;&gt;"Offshore",0,VLOOKUP(I127,'Local Tariffs'!$E$4:$F$38,2,0))</f>
        <v>0</v>
      </c>
      <c r="U127" s="53">
        <f t="shared" si="49"/>
        <v>58319.502999999997</v>
      </c>
      <c r="V127" s="53">
        <f t="shared" si="50"/>
        <v>0</v>
      </c>
      <c r="W127" s="36">
        <v>15.431790999999999</v>
      </c>
      <c r="X127" s="37">
        <v>288574.49</v>
      </c>
      <c r="Y127" s="37">
        <v>0</v>
      </c>
      <c r="Z127" s="38">
        <v>0</v>
      </c>
      <c r="AA127" s="39">
        <v>0</v>
      </c>
      <c r="AB127" s="40">
        <v>0</v>
      </c>
      <c r="AC127" s="41">
        <v>0</v>
      </c>
      <c r="AD127" s="41">
        <v>0</v>
      </c>
      <c r="AE127" s="58">
        <f t="shared" si="51"/>
        <v>0</v>
      </c>
      <c r="AF127" s="58">
        <f t="shared" si="52"/>
        <v>0</v>
      </c>
      <c r="AG127" s="58">
        <f t="shared" si="53"/>
        <v>0</v>
      </c>
      <c r="AH127" s="41">
        <f t="shared" si="54"/>
        <v>0</v>
      </c>
      <c r="AI127" s="41">
        <f t="shared" si="55"/>
        <v>0</v>
      </c>
      <c r="AJ127" s="41">
        <f t="shared" si="56"/>
        <v>0</v>
      </c>
      <c r="AK127" s="42">
        <v>0</v>
      </c>
      <c r="AL127" s="41">
        <v>0</v>
      </c>
      <c r="AM127" s="41">
        <v>288574.49</v>
      </c>
      <c r="AN127" s="64">
        <f t="shared" si="57"/>
        <v>288574.49</v>
      </c>
      <c r="AO127" s="73">
        <f t="shared" si="58"/>
        <v>0</v>
      </c>
      <c r="AP127" s="73">
        <f t="shared" si="59"/>
        <v>0</v>
      </c>
    </row>
    <row r="128" spans="2:42" x14ac:dyDescent="0.25">
      <c r="B128" s="44" t="s">
        <v>481</v>
      </c>
      <c r="C128" s="45" t="s">
        <v>323</v>
      </c>
      <c r="D128" s="45" t="s">
        <v>481</v>
      </c>
      <c r="E128" s="45">
        <v>7</v>
      </c>
      <c r="F128" s="45" t="s">
        <v>333</v>
      </c>
      <c r="G128" s="33">
        <v>0.35111599999999998</v>
      </c>
      <c r="H128" s="34">
        <v>15</v>
      </c>
      <c r="I128" s="35" t="s">
        <v>321</v>
      </c>
      <c r="J128" s="36">
        <v>-4.849145</v>
      </c>
      <c r="K128" s="36">
        <v>16.063245000000002</v>
      </c>
      <c r="L128" s="53">
        <f t="shared" si="44"/>
        <v>-72737.175000000003</v>
      </c>
      <c r="M128" s="53">
        <f t="shared" si="45"/>
        <v>313685.85000000003</v>
      </c>
      <c r="N128" s="53">
        <f t="shared" si="46"/>
        <v>240948.67500000005</v>
      </c>
      <c r="O128" s="36">
        <v>-1.2433080000000001</v>
      </c>
      <c r="P128" s="36">
        <v>0.203179</v>
      </c>
      <c r="Q128" s="36">
        <f t="shared" si="47"/>
        <v>-1.2433080000000001</v>
      </c>
      <c r="R128" s="36">
        <f t="shared" si="48"/>
        <v>0.203179</v>
      </c>
      <c r="S128" s="36">
        <f>IF(C128&lt;&gt;"Offshore",0,IFERROR(VLOOKUP(D128,'Local Tariffs'!$A$4:$B$98,2,0),VLOOKUP(A128,'Local Tariffs'!$A$4:$B$98,2,0)))</f>
        <v>0</v>
      </c>
      <c r="T128" s="36">
        <f>IF(C128&lt;&gt;"Offshore",0,VLOOKUP(I128,'Local Tariffs'!$E$4:$F$38,2,0))</f>
        <v>0</v>
      </c>
      <c r="U128" s="53">
        <f t="shared" si="49"/>
        <v>-15601.935000000001</v>
      </c>
      <c r="V128" s="53">
        <f t="shared" si="50"/>
        <v>0</v>
      </c>
      <c r="W128" s="36">
        <v>15.023116000000002</v>
      </c>
      <c r="X128" s="37">
        <v>225346.74</v>
      </c>
      <c r="Y128" s="37">
        <v>0</v>
      </c>
      <c r="Z128" s="38">
        <v>-1.2433080000000001</v>
      </c>
      <c r="AA128" s="39">
        <v>-18649.62</v>
      </c>
      <c r="AB128" s="40">
        <v>14.831333333333333</v>
      </c>
      <c r="AC128" s="41">
        <v>-18439.919999999998</v>
      </c>
      <c r="AD128" s="41">
        <v>209.70000000000073</v>
      </c>
      <c r="AE128" s="58">
        <f t="shared" si="51"/>
        <v>0</v>
      </c>
      <c r="AF128" s="58">
        <f t="shared" si="52"/>
        <v>-1.2433080000000001</v>
      </c>
      <c r="AG128" s="58">
        <f t="shared" si="53"/>
        <v>0</v>
      </c>
      <c r="AH128" s="41">
        <f t="shared" si="54"/>
        <v>0</v>
      </c>
      <c r="AI128" s="41">
        <f t="shared" si="55"/>
        <v>209.70461600000013</v>
      </c>
      <c r="AJ128" s="41">
        <f t="shared" si="56"/>
        <v>0</v>
      </c>
      <c r="AK128" s="42">
        <v>0</v>
      </c>
      <c r="AL128" s="41">
        <v>209.70000000000073</v>
      </c>
      <c r="AM128" s="41">
        <v>225346.73999999996</v>
      </c>
      <c r="AN128" s="64">
        <f t="shared" si="57"/>
        <v>225556.43999999997</v>
      </c>
      <c r="AO128" s="73">
        <f t="shared" si="58"/>
        <v>0</v>
      </c>
      <c r="AP128" s="73">
        <f t="shared" si="59"/>
        <v>0</v>
      </c>
    </row>
    <row r="129" spans="2:42" x14ac:dyDescent="0.25">
      <c r="B129" s="44" t="s">
        <v>482</v>
      </c>
      <c r="C129" s="45" t="s">
        <v>323</v>
      </c>
      <c r="D129" s="45" t="s">
        <v>324</v>
      </c>
      <c r="E129" s="45">
        <v>26</v>
      </c>
      <c r="F129" s="45" t="s">
        <v>374</v>
      </c>
      <c r="G129" s="33">
        <v>0.102893</v>
      </c>
      <c r="H129" s="34">
        <v>49.9</v>
      </c>
      <c r="I129" s="35" t="s">
        <v>446</v>
      </c>
      <c r="J129" s="36">
        <v>-4.849145</v>
      </c>
      <c r="K129" s="36">
        <v>-6.9766600000000007</v>
      </c>
      <c r="L129" s="53">
        <f t="shared" si="44"/>
        <v>-241972.33549999999</v>
      </c>
      <c r="M129" s="53">
        <f t="shared" si="45"/>
        <v>-106162.99850000003</v>
      </c>
      <c r="N129" s="53">
        <f t="shared" si="46"/>
        <v>-348135.33400000003</v>
      </c>
      <c r="O129" s="36">
        <v>0</v>
      </c>
      <c r="P129" s="36">
        <v>8.3748000000000003E-2</v>
      </c>
      <c r="Q129" s="36">
        <f t="shared" si="47"/>
        <v>0</v>
      </c>
      <c r="R129" s="36">
        <f t="shared" si="48"/>
        <v>8.3748000000000003E-2</v>
      </c>
      <c r="S129" s="36">
        <f>IF(C129&lt;&gt;"Offshore",0,IFERROR(VLOOKUP(D129,'Local Tariffs'!$A$4:$B$98,2,0),VLOOKUP(A129,'Local Tariffs'!$A$4:$B$98,2,0)))</f>
        <v>0</v>
      </c>
      <c r="T129" s="36">
        <f>IF(C129&lt;&gt;"Offshore",0,VLOOKUP(I129,'Local Tariffs'!$E$4:$F$38,2,0))</f>
        <v>0</v>
      </c>
      <c r="U129" s="53">
        <f t="shared" si="49"/>
        <v>4179.0252</v>
      </c>
      <c r="V129" s="53">
        <f t="shared" si="50"/>
        <v>0</v>
      </c>
      <c r="W129" s="36">
        <v>-6.8929120000000008</v>
      </c>
      <c r="X129" s="37">
        <v>-343956.31</v>
      </c>
      <c r="Y129" s="37">
        <v>1.0000000009313226E-2</v>
      </c>
      <c r="Z129" s="38">
        <v>-6.9766600000000007</v>
      </c>
      <c r="AA129" s="39">
        <v>-348135.33</v>
      </c>
      <c r="AB129" s="40">
        <v>0</v>
      </c>
      <c r="AC129" s="41">
        <v>0</v>
      </c>
      <c r="AD129" s="41">
        <v>348135.33</v>
      </c>
      <c r="AE129" s="58">
        <f t="shared" si="51"/>
        <v>-6.9766600000000007</v>
      </c>
      <c r="AF129" s="58">
        <f t="shared" si="52"/>
        <v>0</v>
      </c>
      <c r="AG129" s="58">
        <f t="shared" si="53"/>
        <v>0</v>
      </c>
      <c r="AH129" s="41">
        <f t="shared" si="54"/>
        <v>348135.33399999997</v>
      </c>
      <c r="AI129" s="41">
        <f t="shared" si="55"/>
        <v>0</v>
      </c>
      <c r="AJ129" s="41">
        <f t="shared" si="56"/>
        <v>0</v>
      </c>
      <c r="AK129" s="42">
        <v>0</v>
      </c>
      <c r="AL129" s="41">
        <v>348135.34</v>
      </c>
      <c r="AM129" s="41">
        <v>-343956.32</v>
      </c>
      <c r="AN129" s="64">
        <f t="shared" si="57"/>
        <v>4179.0200000000186</v>
      </c>
      <c r="AO129" s="73">
        <f t="shared" si="58"/>
        <v>241972.33549999999</v>
      </c>
      <c r="AP129" s="73">
        <f t="shared" si="59"/>
        <v>106162.99850000003</v>
      </c>
    </row>
    <row r="130" spans="2:42" x14ac:dyDescent="0.25">
      <c r="B130" s="44" t="s">
        <v>483</v>
      </c>
      <c r="C130" s="45" t="s">
        <v>318</v>
      </c>
      <c r="D130" s="45" t="s">
        <v>483</v>
      </c>
      <c r="E130" s="45">
        <v>14</v>
      </c>
      <c r="F130" s="45" t="s">
        <v>320</v>
      </c>
      <c r="G130" s="33">
        <v>0.41651500000000002</v>
      </c>
      <c r="H130" s="34">
        <v>150</v>
      </c>
      <c r="I130" s="35" t="s">
        <v>484</v>
      </c>
      <c r="J130" s="36">
        <v>-4.849145</v>
      </c>
      <c r="K130" s="36">
        <v>-1.537099</v>
      </c>
      <c r="L130" s="53">
        <f t="shared" si="44"/>
        <v>-727371.75</v>
      </c>
      <c r="M130" s="53">
        <f t="shared" si="45"/>
        <v>496806.89999999997</v>
      </c>
      <c r="N130" s="53">
        <f t="shared" si="46"/>
        <v>-230564.85000000003</v>
      </c>
      <c r="O130" s="36">
        <v>47.008378999999998</v>
      </c>
      <c r="P130" s="36">
        <v>25.233892999999998</v>
      </c>
      <c r="Q130" s="36">
        <f t="shared" si="47"/>
        <v>0</v>
      </c>
      <c r="R130" s="36">
        <f t="shared" si="48"/>
        <v>0</v>
      </c>
      <c r="S130" s="36">
        <f>IF(C130&lt;&gt;"Offshore",0,IFERROR(VLOOKUP(D130,'Local Tariffs'!$A$4:$B$98,2,0),VLOOKUP(A130,'Local Tariffs'!$A$4:$B$98,2,0)))</f>
        <v>47.008378999999998</v>
      </c>
      <c r="T130" s="36">
        <f>IF(C130&lt;&gt;"Offshore",0,VLOOKUP(I130,'Local Tariffs'!$E$4:$F$38,2,0))</f>
        <v>25.233892999999998</v>
      </c>
      <c r="U130" s="53">
        <f t="shared" si="49"/>
        <v>0</v>
      </c>
      <c r="V130" s="53">
        <f t="shared" si="50"/>
        <v>10836340.800000001</v>
      </c>
      <c r="W130" s="36">
        <v>70.705173000000002</v>
      </c>
      <c r="X130" s="37">
        <v>10605775.949999999</v>
      </c>
      <c r="Y130" s="37">
        <v>9.9999997764825821E-3</v>
      </c>
      <c r="Z130" s="38">
        <v>-1.537099</v>
      </c>
      <c r="AA130" s="39">
        <v>-230564.85</v>
      </c>
      <c r="AB130" s="40">
        <v>133.54999999999998</v>
      </c>
      <c r="AC130" s="41">
        <v>-205279.57</v>
      </c>
      <c r="AD130" s="41">
        <v>25285.279999999999</v>
      </c>
      <c r="AE130" s="58">
        <f t="shared" si="51"/>
        <v>-1.537099</v>
      </c>
      <c r="AF130" s="58">
        <f t="shared" si="52"/>
        <v>0</v>
      </c>
      <c r="AG130" s="58">
        <f t="shared" si="53"/>
        <v>0</v>
      </c>
      <c r="AH130" s="41">
        <f t="shared" si="54"/>
        <v>25285.278550000025</v>
      </c>
      <c r="AI130" s="41">
        <f t="shared" si="55"/>
        <v>0</v>
      </c>
      <c r="AJ130" s="41">
        <f t="shared" si="56"/>
        <v>0</v>
      </c>
      <c r="AK130" s="42">
        <v>8557.02</v>
      </c>
      <c r="AL130" s="41">
        <v>33842.309999999779</v>
      </c>
      <c r="AM130" s="41">
        <v>10605775.939999999</v>
      </c>
      <c r="AN130" s="64">
        <f t="shared" si="57"/>
        <v>10639618.25</v>
      </c>
      <c r="AO130" s="73">
        <f t="shared" si="58"/>
        <v>25285.278550000025</v>
      </c>
      <c r="AP130" s="73">
        <f t="shared" si="59"/>
        <v>0</v>
      </c>
    </row>
    <row r="131" spans="2:42" x14ac:dyDescent="0.25">
      <c r="B131" s="44" t="s">
        <v>485</v>
      </c>
      <c r="C131" s="45" t="s">
        <v>323</v>
      </c>
      <c r="D131" s="45" t="s">
        <v>324</v>
      </c>
      <c r="E131" s="45">
        <v>1</v>
      </c>
      <c r="F131" s="45" t="s">
        <v>333</v>
      </c>
      <c r="G131" s="33">
        <v>0.52392499999999997</v>
      </c>
      <c r="H131" s="34">
        <v>18</v>
      </c>
      <c r="I131" s="35" t="s">
        <v>321</v>
      </c>
      <c r="J131" s="36">
        <v>-4.849145</v>
      </c>
      <c r="K131" s="36">
        <v>12.313100999999998</v>
      </c>
      <c r="L131" s="53">
        <f t="shared" si="44"/>
        <v>-87284.61</v>
      </c>
      <c r="M131" s="53">
        <f t="shared" si="45"/>
        <v>308920.4279999999</v>
      </c>
      <c r="N131" s="53">
        <f t="shared" si="46"/>
        <v>221635.81799999991</v>
      </c>
      <c r="O131" s="36">
        <v>0</v>
      </c>
      <c r="P131" s="36">
        <v>0.203179</v>
      </c>
      <c r="Q131" s="36">
        <f t="shared" si="47"/>
        <v>0</v>
      </c>
      <c r="R131" s="36">
        <f t="shared" si="48"/>
        <v>0.203179</v>
      </c>
      <c r="S131" s="36">
        <f>IF(C131&lt;&gt;"Offshore",0,IFERROR(VLOOKUP(D131,'Local Tariffs'!$A$4:$B$98,2,0),VLOOKUP(A131,'Local Tariffs'!$A$4:$B$98,2,0)))</f>
        <v>0</v>
      </c>
      <c r="T131" s="36">
        <f>IF(C131&lt;&gt;"Offshore",0,VLOOKUP(I131,'Local Tariffs'!$E$4:$F$38,2,0))</f>
        <v>0</v>
      </c>
      <c r="U131" s="53">
        <f t="shared" si="49"/>
        <v>3657.2219999999998</v>
      </c>
      <c r="V131" s="53">
        <f t="shared" si="50"/>
        <v>0</v>
      </c>
      <c r="W131" s="36">
        <v>12.516279999999998</v>
      </c>
      <c r="X131" s="37">
        <v>225293.04</v>
      </c>
      <c r="Y131" s="37">
        <v>0</v>
      </c>
      <c r="Z131" s="38">
        <v>0</v>
      </c>
      <c r="AA131" s="39">
        <v>0</v>
      </c>
      <c r="AB131" s="40">
        <v>0</v>
      </c>
      <c r="AC131" s="41">
        <v>0</v>
      </c>
      <c r="AD131" s="41">
        <v>0</v>
      </c>
      <c r="AE131" s="58">
        <f t="shared" si="51"/>
        <v>0</v>
      </c>
      <c r="AF131" s="58">
        <f t="shared" si="52"/>
        <v>0</v>
      </c>
      <c r="AG131" s="58">
        <f t="shared" si="53"/>
        <v>0</v>
      </c>
      <c r="AH131" s="41">
        <f t="shared" si="54"/>
        <v>0</v>
      </c>
      <c r="AI131" s="41">
        <f t="shared" si="55"/>
        <v>0</v>
      </c>
      <c r="AJ131" s="41">
        <f t="shared" si="56"/>
        <v>0</v>
      </c>
      <c r="AK131" s="42">
        <v>0</v>
      </c>
      <c r="AL131" s="41">
        <v>0</v>
      </c>
      <c r="AM131" s="41">
        <v>225293.03999999992</v>
      </c>
      <c r="AN131" s="64">
        <f t="shared" si="57"/>
        <v>225293.03999999992</v>
      </c>
      <c r="AO131" s="73">
        <f t="shared" si="58"/>
        <v>0</v>
      </c>
      <c r="AP131" s="73">
        <f t="shared" si="59"/>
        <v>0</v>
      </c>
    </row>
    <row r="132" spans="2:42" x14ac:dyDescent="0.25">
      <c r="B132" s="44" t="s">
        <v>486</v>
      </c>
      <c r="C132" s="45" t="s">
        <v>323</v>
      </c>
      <c r="D132" s="45" t="s">
        <v>324</v>
      </c>
      <c r="E132" s="45">
        <v>20</v>
      </c>
      <c r="F132" s="45" t="s">
        <v>340</v>
      </c>
      <c r="G132" s="33">
        <v>0.694492</v>
      </c>
      <c r="H132" s="34">
        <v>2199</v>
      </c>
      <c r="I132" s="35" t="s">
        <v>362</v>
      </c>
      <c r="J132" s="36">
        <v>-4.849145</v>
      </c>
      <c r="K132" s="36">
        <v>0.92047200000000018</v>
      </c>
      <c r="L132" s="53">
        <f t="shared" si="44"/>
        <v>-10663269.855</v>
      </c>
      <c r="M132" s="53">
        <f t="shared" si="45"/>
        <v>12687387.783</v>
      </c>
      <c r="N132" s="53">
        <f t="shared" si="46"/>
        <v>2024117.9279999994</v>
      </c>
      <c r="O132" s="36">
        <v>0</v>
      </c>
      <c r="P132" s="36">
        <v>0.43671900000000002</v>
      </c>
      <c r="Q132" s="36">
        <f t="shared" si="47"/>
        <v>0</v>
      </c>
      <c r="R132" s="36">
        <f t="shared" si="48"/>
        <v>0.43671900000000002</v>
      </c>
      <c r="S132" s="36">
        <f>IF(C132&lt;&gt;"Offshore",0,IFERROR(VLOOKUP(D132,'Local Tariffs'!$A$4:$B$98,2,0),VLOOKUP(A132,'Local Tariffs'!$A$4:$B$98,2,0)))</f>
        <v>0</v>
      </c>
      <c r="T132" s="36">
        <f>IF(C132&lt;&gt;"Offshore",0,VLOOKUP(I132,'Local Tariffs'!$E$4:$F$38,2,0))</f>
        <v>0</v>
      </c>
      <c r="U132" s="53">
        <f t="shared" si="49"/>
        <v>960345.08100000001</v>
      </c>
      <c r="V132" s="53">
        <f t="shared" si="50"/>
        <v>0</v>
      </c>
      <c r="W132" s="36">
        <v>1.3571910000000003</v>
      </c>
      <c r="X132" s="37">
        <v>2984463.01</v>
      </c>
      <c r="Y132" s="37">
        <v>-0.80000000027939677</v>
      </c>
      <c r="Z132" s="38">
        <v>0</v>
      </c>
      <c r="AA132" s="39">
        <v>0</v>
      </c>
      <c r="AB132" s="40">
        <v>0</v>
      </c>
      <c r="AC132" s="41">
        <v>0</v>
      </c>
      <c r="AD132" s="41">
        <v>0</v>
      </c>
      <c r="AE132" s="58">
        <f t="shared" si="51"/>
        <v>0</v>
      </c>
      <c r="AF132" s="58">
        <f t="shared" si="52"/>
        <v>0</v>
      </c>
      <c r="AG132" s="58">
        <f t="shared" si="53"/>
        <v>0</v>
      </c>
      <c r="AH132" s="41">
        <f t="shared" si="54"/>
        <v>0</v>
      </c>
      <c r="AI132" s="41">
        <f t="shared" si="55"/>
        <v>0</v>
      </c>
      <c r="AJ132" s="41">
        <f t="shared" si="56"/>
        <v>0</v>
      </c>
      <c r="AK132" s="42">
        <v>0</v>
      </c>
      <c r="AL132" s="41">
        <v>-0.80000000027939677</v>
      </c>
      <c r="AM132" s="41">
        <v>2984463.81</v>
      </c>
      <c r="AN132" s="64">
        <f t="shared" si="57"/>
        <v>2984463.01</v>
      </c>
      <c r="AO132" s="73">
        <f t="shared" si="58"/>
        <v>0</v>
      </c>
      <c r="AP132" s="73">
        <f t="shared" si="59"/>
        <v>0</v>
      </c>
    </row>
    <row r="133" spans="2:42" x14ac:dyDescent="0.25">
      <c r="B133" s="44" t="s">
        <v>487</v>
      </c>
      <c r="C133" s="45" t="s">
        <v>323</v>
      </c>
      <c r="D133" s="45" t="s">
        <v>488</v>
      </c>
      <c r="E133" s="45">
        <v>21</v>
      </c>
      <c r="F133" s="45" t="s">
        <v>328</v>
      </c>
      <c r="G133" s="33">
        <v>0.320801</v>
      </c>
      <c r="H133" s="34">
        <v>228</v>
      </c>
      <c r="I133" s="35" t="s">
        <v>446</v>
      </c>
      <c r="J133" s="36">
        <v>-4.849145</v>
      </c>
      <c r="K133" s="36">
        <v>-6.4342969999999999</v>
      </c>
      <c r="L133" s="53">
        <f t="shared" si="44"/>
        <v>-1105605.06</v>
      </c>
      <c r="M133" s="53">
        <f t="shared" si="45"/>
        <v>-361414.65599999996</v>
      </c>
      <c r="N133" s="53">
        <f t="shared" si="46"/>
        <v>-1467019.716</v>
      </c>
      <c r="O133" s="36">
        <v>0.10284600000000001</v>
      </c>
      <c r="P133" s="36">
        <v>8.3748000000000003E-2</v>
      </c>
      <c r="Q133" s="36">
        <f t="shared" si="47"/>
        <v>0.10284600000000001</v>
      </c>
      <c r="R133" s="36">
        <f t="shared" si="48"/>
        <v>8.3748000000000003E-2</v>
      </c>
      <c r="S133" s="36">
        <f>IF(C133&lt;&gt;"Offshore",0,IFERROR(VLOOKUP(D133,'Local Tariffs'!$A$4:$B$98,2,0),VLOOKUP(A133,'Local Tariffs'!$A$4:$B$98,2,0)))</f>
        <v>0</v>
      </c>
      <c r="T133" s="36">
        <f>IF(C133&lt;&gt;"Offshore",0,VLOOKUP(I133,'Local Tariffs'!$E$4:$F$38,2,0))</f>
        <v>0</v>
      </c>
      <c r="U133" s="53">
        <f t="shared" si="49"/>
        <v>42543.432000000001</v>
      </c>
      <c r="V133" s="53">
        <f t="shared" si="50"/>
        <v>0</v>
      </c>
      <c r="W133" s="36">
        <v>-6.2477029999999996</v>
      </c>
      <c r="X133" s="37">
        <v>-1424476.28</v>
      </c>
      <c r="Y133" s="37">
        <v>45.050000000279397</v>
      </c>
      <c r="Z133" s="38">
        <v>-6.4342969999999999</v>
      </c>
      <c r="AA133" s="39">
        <v>-1467019.72</v>
      </c>
      <c r="AB133" s="40">
        <v>222.89000000000001</v>
      </c>
      <c r="AC133" s="41">
        <v>-1434140.46</v>
      </c>
      <c r="AD133" s="41">
        <v>32879.260000000009</v>
      </c>
      <c r="AE133" s="58">
        <f t="shared" si="51"/>
        <v>-6.4342969999999999</v>
      </c>
      <c r="AF133" s="58">
        <f t="shared" si="52"/>
        <v>0</v>
      </c>
      <c r="AG133" s="58">
        <f t="shared" si="53"/>
        <v>0</v>
      </c>
      <c r="AH133" s="41">
        <f t="shared" si="54"/>
        <v>32879.257669999904</v>
      </c>
      <c r="AI133" s="41">
        <f t="shared" si="55"/>
        <v>0</v>
      </c>
      <c r="AJ133" s="41">
        <f t="shared" si="56"/>
        <v>0</v>
      </c>
      <c r="AK133" s="42">
        <v>0</v>
      </c>
      <c r="AL133" s="41">
        <v>32924.310000000289</v>
      </c>
      <c r="AM133" s="41">
        <v>-1424521.3300000003</v>
      </c>
      <c r="AN133" s="64">
        <f t="shared" si="57"/>
        <v>-1391597.02</v>
      </c>
      <c r="AO133" s="73">
        <f t="shared" si="58"/>
        <v>24779.13094999993</v>
      </c>
      <c r="AP133" s="73">
        <f t="shared" si="59"/>
        <v>8100.1267199999756</v>
      </c>
    </row>
    <row r="134" spans="2:42" x14ac:dyDescent="0.25">
      <c r="B134" s="44" t="s">
        <v>489</v>
      </c>
      <c r="C134" s="45" t="s">
        <v>2</v>
      </c>
      <c r="D134" s="45" t="s">
        <v>324</v>
      </c>
      <c r="E134" s="45">
        <v>17</v>
      </c>
      <c r="F134" s="45" t="s">
        <v>340</v>
      </c>
      <c r="G134" s="33">
        <v>1.1063999999999999E-2</v>
      </c>
      <c r="H134" s="34">
        <v>245</v>
      </c>
      <c r="I134" s="35" t="s">
        <v>364</v>
      </c>
      <c r="J134" s="36">
        <v>-4.849145</v>
      </c>
      <c r="K134" s="36">
        <v>-3.0720929999999997</v>
      </c>
      <c r="L134" s="53">
        <f t="shared" si="44"/>
        <v>-1188040.5250000001</v>
      </c>
      <c r="M134" s="53">
        <f t="shared" si="45"/>
        <v>435377.74000000005</v>
      </c>
      <c r="N134" s="53">
        <f t="shared" si="46"/>
        <v>-752662.78500000015</v>
      </c>
      <c r="O134" s="36">
        <v>0</v>
      </c>
      <c r="P134" s="36">
        <v>0</v>
      </c>
      <c r="Q134" s="36">
        <f t="shared" si="47"/>
        <v>0</v>
      </c>
      <c r="R134" s="36">
        <f t="shared" si="48"/>
        <v>0</v>
      </c>
      <c r="S134" s="36">
        <f>IF(C134&lt;&gt;"Offshore",0,IFERROR(VLOOKUP(D134,'Local Tariffs'!$A$4:$B$98,2,0),VLOOKUP(A134,'Local Tariffs'!$A$4:$B$98,2,0)))</f>
        <v>0</v>
      </c>
      <c r="T134" s="36">
        <f>IF(C134&lt;&gt;"Offshore",0,VLOOKUP(I134,'Local Tariffs'!$E$4:$F$38,2,0))</f>
        <v>0</v>
      </c>
      <c r="U134" s="53">
        <f t="shared" si="49"/>
        <v>0</v>
      </c>
      <c r="V134" s="53">
        <f t="shared" si="50"/>
        <v>0</v>
      </c>
      <c r="W134" s="36">
        <v>-3.0720929999999997</v>
      </c>
      <c r="X134" s="37">
        <v>-752662.79</v>
      </c>
      <c r="Y134" s="37">
        <v>-5.9999999939464033E-2</v>
      </c>
      <c r="Z134" s="38">
        <v>-3.0720929999999997</v>
      </c>
      <c r="AA134" s="39">
        <v>-752662.79</v>
      </c>
      <c r="AB134" s="40">
        <v>242.76999999999998</v>
      </c>
      <c r="AC134" s="41">
        <v>-745812.02</v>
      </c>
      <c r="AD134" s="41">
        <v>6850.7700000000186</v>
      </c>
      <c r="AE134" s="58">
        <f t="shared" si="51"/>
        <v>-3.0720929999999997</v>
      </c>
      <c r="AF134" s="58">
        <f t="shared" si="52"/>
        <v>0</v>
      </c>
      <c r="AG134" s="58">
        <f t="shared" si="53"/>
        <v>0</v>
      </c>
      <c r="AH134" s="41">
        <f t="shared" si="54"/>
        <v>6850.7673900000555</v>
      </c>
      <c r="AI134" s="41">
        <f t="shared" si="55"/>
        <v>0</v>
      </c>
      <c r="AJ134" s="41">
        <f t="shared" si="56"/>
        <v>0</v>
      </c>
      <c r="AK134" s="42">
        <v>0</v>
      </c>
      <c r="AL134" s="41">
        <v>6850.7100000000792</v>
      </c>
      <c r="AM134" s="41">
        <v>-752662.7300000001</v>
      </c>
      <c r="AN134" s="64">
        <f t="shared" si="57"/>
        <v>-745812.02</v>
      </c>
      <c r="AO134" s="73">
        <f t="shared" si="58"/>
        <v>6850.7673900000555</v>
      </c>
      <c r="AP134" s="73">
        <f t="shared" si="59"/>
        <v>0</v>
      </c>
    </row>
    <row r="135" spans="2:42" x14ac:dyDescent="0.25">
      <c r="B135" s="44" t="s">
        <v>490</v>
      </c>
      <c r="C135" s="45" t="s">
        <v>323</v>
      </c>
      <c r="D135" s="45" t="s">
        <v>324</v>
      </c>
      <c r="E135" s="45">
        <v>2</v>
      </c>
      <c r="F135" s="45" t="s">
        <v>340</v>
      </c>
      <c r="G135" s="33">
        <v>0.42394999999999999</v>
      </c>
      <c r="H135" s="34">
        <v>1180</v>
      </c>
      <c r="I135" s="35" t="s">
        <v>326</v>
      </c>
      <c r="J135" s="36">
        <v>-4.849145</v>
      </c>
      <c r="K135" s="36">
        <v>12.07449217345</v>
      </c>
      <c r="L135" s="53">
        <f t="shared" si="44"/>
        <v>-5721991.1000000006</v>
      </c>
      <c r="M135" s="53">
        <f t="shared" si="45"/>
        <v>19969891.864670999</v>
      </c>
      <c r="N135" s="53">
        <f t="shared" si="46"/>
        <v>14247900.764670998</v>
      </c>
      <c r="O135" s="36">
        <v>0</v>
      </c>
      <c r="P135" s="36">
        <v>0.27692499999999998</v>
      </c>
      <c r="Q135" s="36">
        <f t="shared" si="47"/>
        <v>0</v>
      </c>
      <c r="R135" s="36">
        <f t="shared" si="48"/>
        <v>0.27692499999999998</v>
      </c>
      <c r="S135" s="36">
        <f>IF(C135&lt;&gt;"Offshore",0,IFERROR(VLOOKUP(D135,'Local Tariffs'!$A$4:$B$98,2,0),VLOOKUP(A135,'Local Tariffs'!$A$4:$B$98,2,0)))</f>
        <v>0</v>
      </c>
      <c r="T135" s="36">
        <f>IF(C135&lt;&gt;"Offshore",0,VLOOKUP(I135,'Local Tariffs'!$E$4:$F$38,2,0))</f>
        <v>0</v>
      </c>
      <c r="U135" s="53">
        <f t="shared" si="49"/>
        <v>326771.49999999994</v>
      </c>
      <c r="V135" s="53">
        <f t="shared" si="50"/>
        <v>0</v>
      </c>
      <c r="W135" s="36">
        <v>12.351417173450001</v>
      </c>
      <c r="X135" s="37">
        <v>14574672.26</v>
      </c>
      <c r="Y135" s="37">
        <v>0.35999999940395355</v>
      </c>
      <c r="Z135" s="38">
        <v>0</v>
      </c>
      <c r="AA135" s="39">
        <v>0</v>
      </c>
      <c r="AB135" s="40">
        <v>0</v>
      </c>
      <c r="AC135" s="41">
        <v>0</v>
      </c>
      <c r="AD135" s="41">
        <v>0</v>
      </c>
      <c r="AE135" s="58">
        <f t="shared" si="51"/>
        <v>0</v>
      </c>
      <c r="AF135" s="58">
        <f t="shared" si="52"/>
        <v>0</v>
      </c>
      <c r="AG135" s="58">
        <f t="shared" si="53"/>
        <v>0</v>
      </c>
      <c r="AH135" s="41">
        <f t="shared" si="54"/>
        <v>0</v>
      </c>
      <c r="AI135" s="41">
        <f t="shared" si="55"/>
        <v>0</v>
      </c>
      <c r="AJ135" s="41">
        <f t="shared" si="56"/>
        <v>0</v>
      </c>
      <c r="AK135" s="42">
        <v>0</v>
      </c>
      <c r="AL135" s="41">
        <v>0.35999999940395355</v>
      </c>
      <c r="AM135" s="41">
        <v>14574671.9</v>
      </c>
      <c r="AN135" s="64">
        <f t="shared" si="57"/>
        <v>14574672.26</v>
      </c>
      <c r="AO135" s="73">
        <f t="shared" si="58"/>
        <v>0</v>
      </c>
      <c r="AP135" s="73">
        <f t="shared" si="59"/>
        <v>0</v>
      </c>
    </row>
    <row r="136" spans="2:42" x14ac:dyDescent="0.25">
      <c r="B136" s="44" t="s">
        <v>491</v>
      </c>
      <c r="C136" s="45" t="s">
        <v>323</v>
      </c>
      <c r="D136" s="45" t="s">
        <v>396</v>
      </c>
      <c r="E136" s="45">
        <v>11</v>
      </c>
      <c r="F136" s="45" t="s">
        <v>328</v>
      </c>
      <c r="G136" s="33">
        <v>0.33469599999999999</v>
      </c>
      <c r="H136" s="34">
        <v>9.6</v>
      </c>
      <c r="I136" s="35" t="s">
        <v>321</v>
      </c>
      <c r="J136" s="36">
        <v>-4.849145</v>
      </c>
      <c r="K136" s="36">
        <v>-6.3199859999999983</v>
      </c>
      <c r="L136" s="53">
        <f t="shared" si="44"/>
        <v>-46551.792000000001</v>
      </c>
      <c r="M136" s="53">
        <f t="shared" si="45"/>
        <v>-14120.073599999983</v>
      </c>
      <c r="N136" s="53">
        <f t="shared" si="46"/>
        <v>-60671.865599999983</v>
      </c>
      <c r="O136" s="36">
        <v>1.526206</v>
      </c>
      <c r="P136" s="36">
        <v>0.203179</v>
      </c>
      <c r="Q136" s="36">
        <f t="shared" si="47"/>
        <v>1.526206</v>
      </c>
      <c r="R136" s="36">
        <f t="shared" si="48"/>
        <v>0.203179</v>
      </c>
      <c r="S136" s="36">
        <f>IF(C136&lt;&gt;"Offshore",0,IFERROR(VLOOKUP(D136,'Local Tariffs'!$A$4:$B$98,2,0),VLOOKUP(A136,'Local Tariffs'!$A$4:$B$98,2,0)))</f>
        <v>0</v>
      </c>
      <c r="T136" s="36">
        <f>IF(C136&lt;&gt;"Offshore",0,VLOOKUP(I136,'Local Tariffs'!$E$4:$F$38,2,0))</f>
        <v>0</v>
      </c>
      <c r="U136" s="53">
        <f t="shared" si="49"/>
        <v>16602.095999999998</v>
      </c>
      <c r="V136" s="53">
        <f t="shared" si="50"/>
        <v>0</v>
      </c>
      <c r="W136" s="36">
        <v>-4.5906009999999977</v>
      </c>
      <c r="X136" s="37">
        <v>-44069.77</v>
      </c>
      <c r="Y136" s="37">
        <v>0</v>
      </c>
      <c r="Z136" s="38">
        <v>-6.3199859999999983</v>
      </c>
      <c r="AA136" s="39">
        <v>-60671.87</v>
      </c>
      <c r="AB136" s="40">
        <v>9.6</v>
      </c>
      <c r="AC136" s="41">
        <v>-60671.87</v>
      </c>
      <c r="AD136" s="41">
        <v>0</v>
      </c>
      <c r="AE136" s="58">
        <f t="shared" si="51"/>
        <v>-6.3199859999999983</v>
      </c>
      <c r="AF136" s="58">
        <f t="shared" si="52"/>
        <v>0</v>
      </c>
      <c r="AG136" s="58">
        <f t="shared" si="53"/>
        <v>0</v>
      </c>
      <c r="AH136" s="41">
        <f t="shared" si="54"/>
        <v>0</v>
      </c>
      <c r="AI136" s="41">
        <f t="shared" si="55"/>
        <v>0</v>
      </c>
      <c r="AJ136" s="41">
        <f t="shared" si="56"/>
        <v>0</v>
      </c>
      <c r="AK136" s="42">
        <v>0</v>
      </c>
      <c r="AL136" s="41">
        <v>0</v>
      </c>
      <c r="AM136" s="41">
        <v>-44069.770000000004</v>
      </c>
      <c r="AN136" s="64">
        <f t="shared" si="57"/>
        <v>-44069.770000000004</v>
      </c>
      <c r="AO136" s="73">
        <f t="shared" si="58"/>
        <v>0</v>
      </c>
      <c r="AP136" s="73">
        <f t="shared" si="59"/>
        <v>0</v>
      </c>
    </row>
    <row r="137" spans="2:42" x14ac:dyDescent="0.25">
      <c r="B137" s="44" t="s">
        <v>492</v>
      </c>
      <c r="C137" s="45" t="s">
        <v>318</v>
      </c>
      <c r="D137" s="32" t="s">
        <v>492</v>
      </c>
      <c r="E137" s="45">
        <v>17</v>
      </c>
      <c r="F137" s="45" t="s">
        <v>320</v>
      </c>
      <c r="G137" s="33">
        <v>0.43545299999999998</v>
      </c>
      <c r="H137" s="34">
        <v>565</v>
      </c>
      <c r="I137" s="35" t="s">
        <v>493</v>
      </c>
      <c r="J137" s="36">
        <v>-4.849145</v>
      </c>
      <c r="K137" s="36">
        <v>-4.6867470000000004</v>
      </c>
      <c r="L137" s="53">
        <f t="shared" si="44"/>
        <v>-2739766.9249999998</v>
      </c>
      <c r="M137" s="53">
        <f t="shared" si="45"/>
        <v>91754.869999999763</v>
      </c>
      <c r="N137" s="53">
        <f t="shared" si="46"/>
        <v>-2648012.0550000002</v>
      </c>
      <c r="O137" s="36">
        <v>26.420532000000001</v>
      </c>
      <c r="P137" s="36">
        <v>9.6249850000000006</v>
      </c>
      <c r="Q137" s="36">
        <f t="shared" si="47"/>
        <v>0</v>
      </c>
      <c r="R137" s="36">
        <f t="shared" si="48"/>
        <v>0</v>
      </c>
      <c r="S137" s="36">
        <f>IF(C137&lt;&gt;"Offshore",0,IFERROR(VLOOKUP(D137,'Local Tariffs'!$A$4:$B$98,2,0),VLOOKUP(A137,'Local Tariffs'!$A$4:$B$98,2,0)))</f>
        <v>26.420532000000001</v>
      </c>
      <c r="T137" s="36">
        <f>IF(C137&lt;&gt;"Offshore",0,VLOOKUP(I137,'Local Tariffs'!$E$4:$F$38,2,0))</f>
        <v>9.6249850000000006</v>
      </c>
      <c r="U137" s="53">
        <f t="shared" si="49"/>
        <v>0</v>
      </c>
      <c r="V137" s="53">
        <f t="shared" si="50"/>
        <v>20365717.105000004</v>
      </c>
      <c r="W137" s="36">
        <v>31.35877</v>
      </c>
      <c r="X137" s="37">
        <v>17717705.050000001</v>
      </c>
      <c r="Y137" s="37">
        <v>9.0000003576278687E-2</v>
      </c>
      <c r="Z137" s="38">
        <v>-4.6867470000000004</v>
      </c>
      <c r="AA137" s="39">
        <v>-2648012.06</v>
      </c>
      <c r="AB137" s="40">
        <v>564.39133333333336</v>
      </c>
      <c r="AC137" s="41">
        <v>-2645159.39</v>
      </c>
      <c r="AD137" s="41">
        <v>2852.6699999999255</v>
      </c>
      <c r="AE137" s="58">
        <f t="shared" si="51"/>
        <v>-4.6867470000000004</v>
      </c>
      <c r="AF137" s="58">
        <f t="shared" si="52"/>
        <v>0</v>
      </c>
      <c r="AG137" s="58">
        <f t="shared" si="53"/>
        <v>0</v>
      </c>
      <c r="AH137" s="41">
        <f t="shared" si="54"/>
        <v>2852.6666739998568</v>
      </c>
      <c r="AI137" s="41">
        <f t="shared" si="55"/>
        <v>0</v>
      </c>
      <c r="AJ137" s="41">
        <f t="shared" si="56"/>
        <v>0</v>
      </c>
      <c r="AK137" s="42">
        <v>0</v>
      </c>
      <c r="AL137" s="41">
        <v>2852.7600000035018</v>
      </c>
      <c r="AM137" s="41">
        <v>17717704.959999997</v>
      </c>
      <c r="AN137" s="64">
        <f t="shared" si="57"/>
        <v>17720557.719999999</v>
      </c>
      <c r="AO137" s="73">
        <f t="shared" si="58"/>
        <v>2852.6666739998568</v>
      </c>
      <c r="AP137" s="73">
        <f t="shared" si="59"/>
        <v>0</v>
      </c>
    </row>
    <row r="138" spans="2:42" x14ac:dyDescent="0.25">
      <c r="B138" s="44" t="s">
        <v>494</v>
      </c>
      <c r="C138" s="45" t="s">
        <v>318</v>
      </c>
      <c r="D138" s="45" t="s">
        <v>324</v>
      </c>
      <c r="E138" s="45">
        <v>25</v>
      </c>
      <c r="F138" s="45" t="s">
        <v>320</v>
      </c>
      <c r="G138" s="33">
        <v>0.415993</v>
      </c>
      <c r="H138" s="34">
        <v>400</v>
      </c>
      <c r="I138" s="35" t="s">
        <v>495</v>
      </c>
      <c r="J138" s="36">
        <v>-4.849145</v>
      </c>
      <c r="K138" s="36">
        <v>-5.8335819999999998</v>
      </c>
      <c r="L138" s="53">
        <f t="shared" si="44"/>
        <v>-1939658</v>
      </c>
      <c r="M138" s="53">
        <f t="shared" si="45"/>
        <v>-393774.79999999993</v>
      </c>
      <c r="N138" s="53">
        <f t="shared" si="46"/>
        <v>-2333432.7999999998</v>
      </c>
      <c r="O138" s="36">
        <v>0</v>
      </c>
      <c r="P138" s="36">
        <v>0</v>
      </c>
      <c r="Q138" s="36">
        <f t="shared" si="47"/>
        <v>0</v>
      </c>
      <c r="R138" s="36">
        <f t="shared" si="48"/>
        <v>0</v>
      </c>
      <c r="S138" s="46">
        <v>0</v>
      </c>
      <c r="T138" s="46">
        <v>0</v>
      </c>
      <c r="U138" s="53">
        <f t="shared" si="49"/>
        <v>0</v>
      </c>
      <c r="V138" s="53">
        <f t="shared" si="50"/>
        <v>0</v>
      </c>
      <c r="W138" s="36">
        <v>-5.8335819999999998</v>
      </c>
      <c r="X138" s="37">
        <v>-2333432.7999999998</v>
      </c>
      <c r="Y138" s="37">
        <v>1.0000000242143869E-2</v>
      </c>
      <c r="Z138" s="38">
        <v>-5.8335819999999998</v>
      </c>
      <c r="AA138" s="39">
        <v>-2333432.7999999998</v>
      </c>
      <c r="AB138" s="40">
        <v>393.64066666666668</v>
      </c>
      <c r="AC138" s="41">
        <v>-2296335.11</v>
      </c>
      <c r="AD138" s="41">
        <v>37097.689999999944</v>
      </c>
      <c r="AE138" s="58">
        <f t="shared" si="51"/>
        <v>-5.8335819999999998</v>
      </c>
      <c r="AF138" s="58">
        <f t="shared" si="52"/>
        <v>0</v>
      </c>
      <c r="AG138" s="58">
        <f t="shared" si="53"/>
        <v>0</v>
      </c>
      <c r="AH138" s="41">
        <f t="shared" si="54"/>
        <v>37097.692465333283</v>
      </c>
      <c r="AI138" s="41">
        <f t="shared" si="55"/>
        <v>0</v>
      </c>
      <c r="AJ138" s="41">
        <f t="shared" si="56"/>
        <v>0</v>
      </c>
      <c r="AK138" s="42">
        <v>0</v>
      </c>
      <c r="AL138" s="41">
        <v>37097.700000000186</v>
      </c>
      <c r="AM138" s="41">
        <v>-2333432.81</v>
      </c>
      <c r="AN138" s="64">
        <f t="shared" si="57"/>
        <v>-2296335.11</v>
      </c>
      <c r="AO138" s="73">
        <f t="shared" si="58"/>
        <v>30837.329436666627</v>
      </c>
      <c r="AP138" s="73">
        <f t="shared" si="59"/>
        <v>6260.3630286666566</v>
      </c>
    </row>
    <row r="139" spans="2:42" x14ac:dyDescent="0.25">
      <c r="B139" s="44" t="s">
        <v>496</v>
      </c>
      <c r="C139" s="45" t="s">
        <v>323</v>
      </c>
      <c r="D139" s="45" t="s">
        <v>324</v>
      </c>
      <c r="E139" s="45">
        <v>18</v>
      </c>
      <c r="F139" s="45" t="s">
        <v>325</v>
      </c>
      <c r="G139" s="33">
        <v>0.18637599999999999</v>
      </c>
      <c r="H139" s="34">
        <v>2021</v>
      </c>
      <c r="I139" s="35" t="s">
        <v>362</v>
      </c>
      <c r="J139" s="36">
        <v>-4.849145</v>
      </c>
      <c r="K139" s="36">
        <v>-3.6277520000000001</v>
      </c>
      <c r="L139" s="53">
        <f t="shared" ref="L139:L181" si="60">$H139*J139*1000</f>
        <v>-9800122.0449999999</v>
      </c>
      <c r="M139" s="53">
        <f t="shared" ref="M139:M181" si="61">$H139*(K139-J139)*1000</f>
        <v>2468435.253</v>
      </c>
      <c r="N139" s="53">
        <f t="shared" ref="N139:N181" si="62">L139+M139</f>
        <v>-7331686.7919999994</v>
      </c>
      <c r="O139" s="36">
        <v>0</v>
      </c>
      <c r="P139" s="36">
        <v>0.43671900000000002</v>
      </c>
      <c r="Q139" s="36">
        <f t="shared" ref="Q139:Q181" si="63">O139-S139</f>
        <v>0</v>
      </c>
      <c r="R139" s="36">
        <f t="shared" ref="R139:R181" si="64">P139-T139</f>
        <v>0.43671900000000002</v>
      </c>
      <c r="S139" s="36">
        <f>IF(C139&lt;&gt;"Offshore",0,IFERROR(VLOOKUP(D139,'Local Tariffs'!$A$4:$B$98,2,0),VLOOKUP(A139,'Local Tariffs'!$A$4:$B$98,2,0)))</f>
        <v>0</v>
      </c>
      <c r="T139" s="36">
        <f>IF(C139&lt;&gt;"Offshore",0,VLOOKUP(I139,'Local Tariffs'!$E$4:$F$38,2,0))</f>
        <v>0</v>
      </c>
      <c r="U139" s="53">
        <f t="shared" ref="U139:U181" si="65">$H139*(Q139+R139)*1000</f>
        <v>882609.09900000005</v>
      </c>
      <c r="V139" s="53">
        <f t="shared" ref="V139:V181" si="66">$H139*(S139+T139)*1000</f>
        <v>0</v>
      </c>
      <c r="W139" s="36">
        <v>-3.191033</v>
      </c>
      <c r="X139" s="37">
        <v>-6449077.6900000004</v>
      </c>
      <c r="Y139" s="37">
        <v>0.87999999802559614</v>
      </c>
      <c r="Z139" s="38">
        <v>-3.6277520000000001</v>
      </c>
      <c r="AA139" s="39">
        <v>-7331686.79</v>
      </c>
      <c r="AB139" s="40">
        <v>2010.7493333333332</v>
      </c>
      <c r="AC139" s="41">
        <v>-7294499.9199999999</v>
      </c>
      <c r="AD139" s="41">
        <v>37186.870000000112</v>
      </c>
      <c r="AE139" s="58">
        <f t="shared" ref="AE139:AE181" si="67">IF(K139&lt;0,K139,0)</f>
        <v>-3.6277520000000001</v>
      </c>
      <c r="AF139" s="58">
        <f t="shared" ref="AF139:AF181" si="68">IF(O139&lt;0,O139,0)</f>
        <v>0</v>
      </c>
      <c r="AG139" s="58">
        <f t="shared" ref="AG139:AG181" si="69">IF(P139&lt;0,P139,0)</f>
        <v>0</v>
      </c>
      <c r="AH139" s="41">
        <f t="shared" ref="AH139:AH181" si="70">IF(AE139=0,0,(H139-AB139)*AE139*-1000)</f>
        <v>37186.876501333827</v>
      </c>
      <c r="AI139" s="41">
        <f t="shared" ref="AI139:AI181" si="71">IF(AF139=0,0,(H139-AB139)*AF139*-1000)</f>
        <v>0</v>
      </c>
      <c r="AJ139" s="41">
        <f t="shared" ref="AJ139:AJ181" si="72">IF(AG139=0,0,(H139-AB139)*AG139*-1000)</f>
        <v>0</v>
      </c>
      <c r="AK139" s="42">
        <v>0</v>
      </c>
      <c r="AL139" s="41">
        <v>37187.749999998137</v>
      </c>
      <c r="AM139" s="41">
        <v>-6449078.5699999984</v>
      </c>
      <c r="AN139" s="64">
        <f t="shared" ref="AN139:AN181" si="73">AM139+AL139</f>
        <v>-6411890.8200000003</v>
      </c>
      <c r="AO139" s="73">
        <f t="shared" ref="AO139:AO181" si="74">IF(AE139&lt;=J139,J139*(H139-AB139)*-1000,IF(AND(AE139&lt;=0,AE139&gt;J139),AE139*(H139-AB139)*-1000,0))</f>
        <v>37186.876501333827</v>
      </c>
      <c r="AP139" s="73">
        <f t="shared" ref="AP139:AP181" si="75">IF(AE139&lt;=J139,(AE139-J139)*(H139-AB139)*-1000,0)</f>
        <v>0</v>
      </c>
    </row>
    <row r="140" spans="2:42" x14ac:dyDescent="0.25">
      <c r="B140" s="44" t="s">
        <v>497</v>
      </c>
      <c r="C140" s="45" t="s">
        <v>318</v>
      </c>
      <c r="D140" s="45" t="s">
        <v>497</v>
      </c>
      <c r="E140" s="45">
        <v>12</v>
      </c>
      <c r="F140" s="45" t="s">
        <v>320</v>
      </c>
      <c r="G140" s="33">
        <v>0.48346499999999998</v>
      </c>
      <c r="H140" s="34">
        <v>86</v>
      </c>
      <c r="I140" s="35" t="s">
        <v>498</v>
      </c>
      <c r="J140" s="36">
        <v>-4.849145</v>
      </c>
      <c r="K140" s="36">
        <v>-6.2682540000000007</v>
      </c>
      <c r="L140" s="53">
        <f t="shared" si="60"/>
        <v>-417026.47000000003</v>
      </c>
      <c r="M140" s="53">
        <f t="shared" si="61"/>
        <v>-122043.37400000005</v>
      </c>
      <c r="N140" s="53">
        <f t="shared" si="62"/>
        <v>-539069.84400000004</v>
      </c>
      <c r="O140" s="36">
        <v>30.921040999999999</v>
      </c>
      <c r="P140" s="36">
        <v>-0.46679300000000001</v>
      </c>
      <c r="Q140" s="36">
        <f t="shared" si="63"/>
        <v>0</v>
      </c>
      <c r="R140" s="36">
        <f t="shared" si="64"/>
        <v>0</v>
      </c>
      <c r="S140" s="36">
        <f>IF(C140&lt;&gt;"Offshore",0,IFERROR(VLOOKUP(D140,'Local Tariffs'!$A$4:$B$98,2,0),VLOOKUP(A140,'Local Tariffs'!$A$4:$B$98,2,0)))</f>
        <v>30.921040999999999</v>
      </c>
      <c r="T140" s="36">
        <f>IF(C140&lt;&gt;"Offshore",0,VLOOKUP(I140,'Local Tariffs'!$E$4:$F$38,2,0))</f>
        <v>-0.46679300000000001</v>
      </c>
      <c r="U140" s="53">
        <f t="shared" si="65"/>
        <v>0</v>
      </c>
      <c r="V140" s="53">
        <f t="shared" si="66"/>
        <v>2619065.3280000002</v>
      </c>
      <c r="W140" s="36">
        <v>24.185993999999997</v>
      </c>
      <c r="X140" s="37">
        <v>2079995.48</v>
      </c>
      <c r="Y140" s="37">
        <v>0</v>
      </c>
      <c r="Z140" s="38">
        <v>-6.7350470000000007</v>
      </c>
      <c r="AA140" s="39">
        <v>-579214.04</v>
      </c>
      <c r="AB140" s="40">
        <v>83.310666666666663</v>
      </c>
      <c r="AC140" s="41">
        <v>-561101.26</v>
      </c>
      <c r="AD140" s="41">
        <v>18112.780000000028</v>
      </c>
      <c r="AE140" s="58">
        <f t="shared" si="67"/>
        <v>-6.2682540000000007</v>
      </c>
      <c r="AF140" s="58">
        <f t="shared" si="68"/>
        <v>0</v>
      </c>
      <c r="AG140" s="58">
        <f t="shared" si="69"/>
        <v>-0.46679300000000001</v>
      </c>
      <c r="AH140" s="41">
        <f t="shared" si="70"/>
        <v>16857.424424000026</v>
      </c>
      <c r="AI140" s="41">
        <f t="shared" si="71"/>
        <v>0</v>
      </c>
      <c r="AJ140" s="41">
        <f t="shared" si="72"/>
        <v>1255.3619746666686</v>
      </c>
      <c r="AK140" s="42">
        <v>0</v>
      </c>
      <c r="AL140" s="41">
        <v>18112.780000000028</v>
      </c>
      <c r="AM140" s="41">
        <v>2079995.48</v>
      </c>
      <c r="AN140" s="64">
        <f t="shared" si="73"/>
        <v>2098108.2599999998</v>
      </c>
      <c r="AO140" s="73">
        <f t="shared" si="74"/>
        <v>13040.967286666688</v>
      </c>
      <c r="AP140" s="73">
        <f t="shared" si="75"/>
        <v>3816.4571373333411</v>
      </c>
    </row>
    <row r="141" spans="2:42" x14ac:dyDescent="0.25">
      <c r="B141" s="44" t="s">
        <v>499</v>
      </c>
      <c r="C141" s="45" t="s">
        <v>318</v>
      </c>
      <c r="D141" s="45" t="s">
        <v>499</v>
      </c>
      <c r="E141" s="45">
        <v>12</v>
      </c>
      <c r="F141" s="45" t="s">
        <v>320</v>
      </c>
      <c r="G141" s="33">
        <v>0.50784099999999999</v>
      </c>
      <c r="H141" s="34">
        <v>92</v>
      </c>
      <c r="I141" s="35" t="s">
        <v>500</v>
      </c>
      <c r="J141" s="36">
        <v>-4.849145</v>
      </c>
      <c r="K141" s="36">
        <v>-6.0819019999999995</v>
      </c>
      <c r="L141" s="53">
        <f t="shared" si="60"/>
        <v>-446121.34</v>
      </c>
      <c r="M141" s="53">
        <f t="shared" si="61"/>
        <v>-113413.64399999994</v>
      </c>
      <c r="N141" s="53">
        <f t="shared" si="62"/>
        <v>-559534.98399999994</v>
      </c>
      <c r="O141" s="36">
        <v>30.921040999999999</v>
      </c>
      <c r="P141" s="36">
        <v>-0.46679300000000001</v>
      </c>
      <c r="Q141" s="36">
        <f t="shared" si="63"/>
        <v>0</v>
      </c>
      <c r="R141" s="36">
        <f t="shared" si="64"/>
        <v>0</v>
      </c>
      <c r="S141" s="36">
        <f>IF(C141&lt;&gt;"Offshore",0,IFERROR(VLOOKUP(D141,'Local Tariffs'!$A$4:$B$98,2,0),VLOOKUP(A141,'Local Tariffs'!$A$4:$B$98,2,0)))</f>
        <v>30.921040999999999</v>
      </c>
      <c r="T141" s="36">
        <f>IF(C141&lt;&gt;"Offshore",0,VLOOKUP(I141,'Local Tariffs'!$E$4:$F$38,2,0))</f>
        <v>-0.46679300000000001</v>
      </c>
      <c r="U141" s="53">
        <f t="shared" si="65"/>
        <v>0</v>
      </c>
      <c r="V141" s="53">
        <f t="shared" si="66"/>
        <v>2801790.8160000001</v>
      </c>
      <c r="W141" s="36">
        <v>24.372346</v>
      </c>
      <c r="X141" s="37">
        <v>2242255.83</v>
      </c>
      <c r="Y141" s="37">
        <v>-2.0000000484287739E-2</v>
      </c>
      <c r="Z141" s="38">
        <v>-6.5486949999999995</v>
      </c>
      <c r="AA141" s="39">
        <v>-602479.93999999994</v>
      </c>
      <c r="AB141" s="40">
        <v>89.04</v>
      </c>
      <c r="AC141" s="41">
        <v>-583095.80000000005</v>
      </c>
      <c r="AD141" s="41">
        <v>19384.139999999898</v>
      </c>
      <c r="AE141" s="58">
        <f t="shared" si="67"/>
        <v>-6.0819019999999995</v>
      </c>
      <c r="AF141" s="58">
        <f t="shared" si="68"/>
        <v>0</v>
      </c>
      <c r="AG141" s="58">
        <f t="shared" si="69"/>
        <v>-0.46679300000000001</v>
      </c>
      <c r="AH141" s="41">
        <f t="shared" si="70"/>
        <v>18002.429919999962</v>
      </c>
      <c r="AI141" s="41">
        <f t="shared" si="71"/>
        <v>0</v>
      </c>
      <c r="AJ141" s="41">
        <f t="shared" si="72"/>
        <v>1381.7072799999971</v>
      </c>
      <c r="AK141" s="42">
        <v>0</v>
      </c>
      <c r="AL141" s="41">
        <v>19384.119999999413</v>
      </c>
      <c r="AM141" s="41">
        <v>2242255.8500000006</v>
      </c>
      <c r="AN141" s="64">
        <f t="shared" si="73"/>
        <v>2261639.9699999997</v>
      </c>
      <c r="AO141" s="73">
        <f t="shared" si="74"/>
        <v>14353.469199999969</v>
      </c>
      <c r="AP141" s="73">
        <f t="shared" si="75"/>
        <v>3648.9607199999905</v>
      </c>
    </row>
    <row r="142" spans="2:42" x14ac:dyDescent="0.25">
      <c r="B142" s="44" t="s">
        <v>501</v>
      </c>
      <c r="C142" s="45" t="s">
        <v>323</v>
      </c>
      <c r="D142" s="45" t="s">
        <v>501</v>
      </c>
      <c r="E142" s="45">
        <v>16</v>
      </c>
      <c r="F142" s="45" t="s">
        <v>340</v>
      </c>
      <c r="G142" s="33">
        <v>0.284132</v>
      </c>
      <c r="H142" s="34">
        <v>810</v>
      </c>
      <c r="I142" s="35" t="s">
        <v>446</v>
      </c>
      <c r="J142" s="36">
        <v>-4.849145</v>
      </c>
      <c r="K142" s="36">
        <v>-1.3830600000000004</v>
      </c>
      <c r="L142" s="53">
        <f t="shared" si="60"/>
        <v>-3927807.45</v>
      </c>
      <c r="M142" s="53">
        <f t="shared" si="61"/>
        <v>2807528.8499999996</v>
      </c>
      <c r="N142" s="53">
        <f t="shared" si="62"/>
        <v>-1120278.6000000006</v>
      </c>
      <c r="O142" s="36">
        <v>1.7912000000000001E-2</v>
      </c>
      <c r="P142" s="36">
        <v>8.3748000000000003E-2</v>
      </c>
      <c r="Q142" s="36">
        <f t="shared" si="63"/>
        <v>1.7912000000000001E-2</v>
      </c>
      <c r="R142" s="36">
        <f t="shared" si="64"/>
        <v>8.3748000000000003E-2</v>
      </c>
      <c r="S142" s="36">
        <f>IF(C142&lt;&gt;"Offshore",0,IFERROR(VLOOKUP(D142,'Local Tariffs'!$A$4:$B$98,2,0),VLOOKUP(A142,'Local Tariffs'!$A$4:$B$98,2,0)))</f>
        <v>0</v>
      </c>
      <c r="T142" s="36">
        <f>IF(C142&lt;&gt;"Offshore",0,VLOOKUP(I142,'Local Tariffs'!$E$4:$F$38,2,0))</f>
        <v>0</v>
      </c>
      <c r="U142" s="53">
        <f t="shared" si="65"/>
        <v>82344.600000000006</v>
      </c>
      <c r="V142" s="53">
        <f t="shared" si="66"/>
        <v>0</v>
      </c>
      <c r="W142" s="36">
        <v>-1.2814000000000005</v>
      </c>
      <c r="X142" s="37">
        <v>-1037934</v>
      </c>
      <c r="Y142" s="37">
        <v>0.31000000017229468</v>
      </c>
      <c r="Z142" s="38">
        <v>-1.3830600000000004</v>
      </c>
      <c r="AA142" s="39">
        <v>-1120278.6000000001</v>
      </c>
      <c r="AB142" s="40">
        <v>736.78000000000009</v>
      </c>
      <c r="AC142" s="41">
        <v>-1019010.95</v>
      </c>
      <c r="AD142" s="41">
        <v>101267.65000000014</v>
      </c>
      <c r="AE142" s="58">
        <f t="shared" si="67"/>
        <v>-1.3830600000000004</v>
      </c>
      <c r="AF142" s="58">
        <f t="shared" si="68"/>
        <v>0</v>
      </c>
      <c r="AG142" s="58">
        <f t="shared" si="69"/>
        <v>0</v>
      </c>
      <c r="AH142" s="41">
        <f t="shared" si="70"/>
        <v>101267.65319999991</v>
      </c>
      <c r="AI142" s="41">
        <f t="shared" si="71"/>
        <v>0</v>
      </c>
      <c r="AJ142" s="41">
        <f t="shared" si="72"/>
        <v>0</v>
      </c>
      <c r="AK142" s="42">
        <v>0</v>
      </c>
      <c r="AL142" s="41">
        <v>101267.96000000031</v>
      </c>
      <c r="AM142" s="41">
        <v>-1037934.3100000002</v>
      </c>
      <c r="AN142" s="64">
        <f t="shared" si="73"/>
        <v>-936666.34999999986</v>
      </c>
      <c r="AO142" s="73">
        <f t="shared" si="74"/>
        <v>101267.65319999991</v>
      </c>
      <c r="AP142" s="73">
        <f t="shared" si="75"/>
        <v>0</v>
      </c>
    </row>
    <row r="143" spans="2:42" x14ac:dyDescent="0.25">
      <c r="B143" s="44" t="s">
        <v>502</v>
      </c>
      <c r="C143" s="45" t="s">
        <v>323</v>
      </c>
      <c r="D143" s="45" t="s">
        <v>324</v>
      </c>
      <c r="E143" s="45">
        <v>24</v>
      </c>
      <c r="F143" s="45" t="s">
        <v>340</v>
      </c>
      <c r="G143" s="33">
        <v>9.9678000000000003E-2</v>
      </c>
      <c r="H143" s="34">
        <v>715</v>
      </c>
      <c r="I143" s="35" t="s">
        <v>356</v>
      </c>
      <c r="J143" s="36">
        <v>-4.849145</v>
      </c>
      <c r="K143" s="36">
        <v>-8.3667829999999999</v>
      </c>
      <c r="L143" s="53">
        <f t="shared" si="60"/>
        <v>-3467138.6750000003</v>
      </c>
      <c r="M143" s="53">
        <f t="shared" si="61"/>
        <v>-2515111.1699999995</v>
      </c>
      <c r="N143" s="53">
        <f t="shared" si="62"/>
        <v>-5982249.8449999997</v>
      </c>
      <c r="O143" s="36">
        <v>0</v>
      </c>
      <c r="P143" s="36">
        <v>0.201402</v>
      </c>
      <c r="Q143" s="36">
        <f t="shared" si="63"/>
        <v>0</v>
      </c>
      <c r="R143" s="36">
        <f t="shared" si="64"/>
        <v>0.201402</v>
      </c>
      <c r="S143" s="36">
        <f>IF(C143&lt;&gt;"Offshore",0,IFERROR(VLOOKUP(D143,'Local Tariffs'!$A$4:$B$98,2,0),VLOOKUP(A143,'Local Tariffs'!$A$4:$B$98,2,0)))</f>
        <v>0</v>
      </c>
      <c r="T143" s="36">
        <f>IF(C143&lt;&gt;"Offshore",0,VLOOKUP(I143,'Local Tariffs'!$E$4:$F$38,2,0))</f>
        <v>0</v>
      </c>
      <c r="U143" s="53">
        <f t="shared" si="65"/>
        <v>144002.43</v>
      </c>
      <c r="V143" s="53">
        <f t="shared" si="66"/>
        <v>0</v>
      </c>
      <c r="W143" s="36">
        <v>-8.165381</v>
      </c>
      <c r="X143" s="37">
        <v>-5838247.4199999999</v>
      </c>
      <c r="Y143" s="37">
        <v>-0.35000000055879354</v>
      </c>
      <c r="Z143" s="38">
        <v>-8.3667829999999999</v>
      </c>
      <c r="AA143" s="39">
        <v>-5982249.8499999996</v>
      </c>
      <c r="AB143" s="40">
        <v>713.67333333333329</v>
      </c>
      <c r="AC143" s="41">
        <v>-5971149.9100000001</v>
      </c>
      <c r="AD143" s="41">
        <v>11099.939999999478</v>
      </c>
      <c r="AE143" s="58">
        <f t="shared" si="67"/>
        <v>-8.3667829999999999</v>
      </c>
      <c r="AF143" s="58">
        <f t="shared" si="68"/>
        <v>0</v>
      </c>
      <c r="AG143" s="58">
        <f t="shared" si="69"/>
        <v>0</v>
      </c>
      <c r="AH143" s="41">
        <f t="shared" si="70"/>
        <v>11099.9321133337</v>
      </c>
      <c r="AI143" s="41">
        <f t="shared" si="71"/>
        <v>0</v>
      </c>
      <c r="AJ143" s="41">
        <f t="shared" si="72"/>
        <v>0</v>
      </c>
      <c r="AK143" s="42">
        <v>47248.13</v>
      </c>
      <c r="AL143" s="41">
        <v>58347.719999998917</v>
      </c>
      <c r="AM143" s="41">
        <v>-5838247.0699999994</v>
      </c>
      <c r="AN143" s="64">
        <f t="shared" si="73"/>
        <v>-5779899.3500000006</v>
      </c>
      <c r="AO143" s="73">
        <f t="shared" si="74"/>
        <v>6433.199033333547</v>
      </c>
      <c r="AP143" s="73">
        <f t="shared" si="75"/>
        <v>4666.7330800001546</v>
      </c>
    </row>
    <row r="144" spans="2:42" x14ac:dyDescent="0.25">
      <c r="B144" s="44" t="s">
        <v>503</v>
      </c>
      <c r="C144" s="45" t="s">
        <v>323</v>
      </c>
      <c r="D144" s="45" t="s">
        <v>503</v>
      </c>
      <c r="E144" s="45">
        <v>15</v>
      </c>
      <c r="F144" s="45" t="s">
        <v>340</v>
      </c>
      <c r="G144" s="33">
        <v>0.69812600000000002</v>
      </c>
      <c r="H144" s="34">
        <v>1100</v>
      </c>
      <c r="I144" s="35" t="s">
        <v>326</v>
      </c>
      <c r="J144" s="36">
        <v>-4.849145</v>
      </c>
      <c r="K144" s="36">
        <v>0.87243427414999974</v>
      </c>
      <c r="L144" s="53">
        <f t="shared" si="60"/>
        <v>-5334059.5</v>
      </c>
      <c r="M144" s="53">
        <f t="shared" si="61"/>
        <v>6293737.2015650002</v>
      </c>
      <c r="N144" s="53">
        <f t="shared" si="62"/>
        <v>959677.70156500023</v>
      </c>
      <c r="O144" s="36">
        <v>1.7558000000000001E-2</v>
      </c>
      <c r="P144" s="36">
        <v>0.27692499999999998</v>
      </c>
      <c r="Q144" s="36">
        <f t="shared" si="63"/>
        <v>1.7558000000000001E-2</v>
      </c>
      <c r="R144" s="36">
        <f t="shared" si="64"/>
        <v>0.27692499999999998</v>
      </c>
      <c r="S144" s="36">
        <f>IF(C144&lt;&gt;"Offshore",0,IFERROR(VLOOKUP(D144,'Local Tariffs'!$A$4:$B$98,2,0),VLOOKUP(A144,'Local Tariffs'!$A$4:$B$98,2,0)))</f>
        <v>0</v>
      </c>
      <c r="T144" s="36">
        <f>IF(C144&lt;&gt;"Offshore",0,VLOOKUP(I144,'Local Tariffs'!$E$4:$F$38,2,0))</f>
        <v>0</v>
      </c>
      <c r="U144" s="53">
        <f t="shared" si="65"/>
        <v>323931.30000000005</v>
      </c>
      <c r="V144" s="53">
        <f t="shared" si="66"/>
        <v>0</v>
      </c>
      <c r="W144" s="36">
        <v>1.1669172741499998</v>
      </c>
      <c r="X144" s="37">
        <v>1283609</v>
      </c>
      <c r="Y144" s="37">
        <v>0.52999999979510903</v>
      </c>
      <c r="Z144" s="38">
        <v>0</v>
      </c>
      <c r="AA144" s="39">
        <v>0</v>
      </c>
      <c r="AB144" s="40">
        <v>0</v>
      </c>
      <c r="AC144" s="41">
        <v>0</v>
      </c>
      <c r="AD144" s="41">
        <v>0</v>
      </c>
      <c r="AE144" s="58">
        <f t="shared" si="67"/>
        <v>0</v>
      </c>
      <c r="AF144" s="58">
        <f t="shared" si="68"/>
        <v>0</v>
      </c>
      <c r="AG144" s="58">
        <f t="shared" si="69"/>
        <v>0</v>
      </c>
      <c r="AH144" s="41">
        <f t="shared" si="70"/>
        <v>0</v>
      </c>
      <c r="AI144" s="41">
        <f t="shared" si="71"/>
        <v>0</v>
      </c>
      <c r="AJ144" s="41">
        <f t="shared" si="72"/>
        <v>0</v>
      </c>
      <c r="AK144" s="42">
        <v>0</v>
      </c>
      <c r="AL144" s="41">
        <v>0.52999999979510903</v>
      </c>
      <c r="AM144" s="41">
        <v>1283608.4700000002</v>
      </c>
      <c r="AN144" s="64">
        <f t="shared" si="73"/>
        <v>1283609</v>
      </c>
      <c r="AO144" s="73">
        <f t="shared" si="74"/>
        <v>0</v>
      </c>
      <c r="AP144" s="73">
        <f t="shared" si="75"/>
        <v>0</v>
      </c>
    </row>
    <row r="145" spans="2:42" x14ac:dyDescent="0.25">
      <c r="B145" s="44" t="s">
        <v>504</v>
      </c>
      <c r="C145" s="45" t="s">
        <v>323</v>
      </c>
      <c r="D145" s="45" t="s">
        <v>505</v>
      </c>
      <c r="E145" s="45">
        <v>10</v>
      </c>
      <c r="F145" s="45" t="s">
        <v>328</v>
      </c>
      <c r="G145" s="33">
        <v>0.40620099999999998</v>
      </c>
      <c r="H145" s="34">
        <v>32.4</v>
      </c>
      <c r="I145" s="35" t="s">
        <v>321</v>
      </c>
      <c r="J145" s="36">
        <v>-4.849145</v>
      </c>
      <c r="K145" s="36">
        <v>0.13733599999999946</v>
      </c>
      <c r="L145" s="53">
        <f t="shared" si="60"/>
        <v>-157112.29799999998</v>
      </c>
      <c r="M145" s="53">
        <f t="shared" si="61"/>
        <v>161561.98439999996</v>
      </c>
      <c r="N145" s="53">
        <f t="shared" si="62"/>
        <v>4449.6863999999769</v>
      </c>
      <c r="O145" s="36">
        <v>4.869173</v>
      </c>
      <c r="P145" s="36">
        <v>0.203179</v>
      </c>
      <c r="Q145" s="36">
        <f t="shared" si="63"/>
        <v>4.869173</v>
      </c>
      <c r="R145" s="36">
        <f t="shared" si="64"/>
        <v>0.203179</v>
      </c>
      <c r="S145" s="36">
        <f>IF(C145&lt;&gt;"Offshore",0,IFERROR(VLOOKUP(D145,'Local Tariffs'!$A$4:$B$98,2,0),VLOOKUP(A145,'Local Tariffs'!$A$4:$B$98,2,0)))</f>
        <v>0</v>
      </c>
      <c r="T145" s="36">
        <f>IF(C145&lt;&gt;"Offshore",0,VLOOKUP(I145,'Local Tariffs'!$E$4:$F$38,2,0))</f>
        <v>0</v>
      </c>
      <c r="U145" s="53">
        <f t="shared" si="65"/>
        <v>164344.20480000001</v>
      </c>
      <c r="V145" s="53">
        <f t="shared" si="66"/>
        <v>0</v>
      </c>
      <c r="W145" s="36">
        <v>5.2096879999999999</v>
      </c>
      <c r="X145" s="37">
        <v>168793.89</v>
      </c>
      <c r="Y145" s="37">
        <v>1.0000000009313226E-2</v>
      </c>
      <c r="Z145" s="38">
        <v>0</v>
      </c>
      <c r="AA145" s="39">
        <v>0</v>
      </c>
      <c r="AB145" s="40">
        <v>0</v>
      </c>
      <c r="AC145" s="41">
        <v>0</v>
      </c>
      <c r="AD145" s="41">
        <v>0</v>
      </c>
      <c r="AE145" s="58">
        <f t="shared" si="67"/>
        <v>0</v>
      </c>
      <c r="AF145" s="58">
        <f t="shared" si="68"/>
        <v>0</v>
      </c>
      <c r="AG145" s="58">
        <f t="shared" si="69"/>
        <v>0</v>
      </c>
      <c r="AH145" s="41">
        <f t="shared" si="70"/>
        <v>0</v>
      </c>
      <c r="AI145" s="41">
        <f t="shared" si="71"/>
        <v>0</v>
      </c>
      <c r="AJ145" s="41">
        <f t="shared" si="72"/>
        <v>0</v>
      </c>
      <c r="AK145" s="42">
        <v>0</v>
      </c>
      <c r="AL145" s="41">
        <v>1.0000000009313226E-2</v>
      </c>
      <c r="AM145" s="41">
        <v>168793.88</v>
      </c>
      <c r="AN145" s="64">
        <f t="shared" si="73"/>
        <v>168793.89</v>
      </c>
      <c r="AO145" s="73">
        <f t="shared" si="74"/>
        <v>0</v>
      </c>
      <c r="AP145" s="73">
        <f t="shared" si="75"/>
        <v>0</v>
      </c>
    </row>
    <row r="146" spans="2:42" x14ac:dyDescent="0.25">
      <c r="B146" s="44" t="s">
        <v>506</v>
      </c>
      <c r="C146" s="45" t="s">
        <v>323</v>
      </c>
      <c r="D146" s="45" t="s">
        <v>324</v>
      </c>
      <c r="E146" s="45">
        <v>22</v>
      </c>
      <c r="F146" s="45" t="s">
        <v>340</v>
      </c>
      <c r="G146" s="33">
        <v>0.33856799999999998</v>
      </c>
      <c r="H146" s="34">
        <v>1234</v>
      </c>
      <c r="I146" s="35" t="s">
        <v>356</v>
      </c>
      <c r="J146" s="36">
        <v>-4.849145</v>
      </c>
      <c r="K146" s="36">
        <v>-3.9915073949279996</v>
      </c>
      <c r="L146" s="53">
        <f t="shared" si="60"/>
        <v>-5983844.9300000006</v>
      </c>
      <c r="M146" s="53">
        <f t="shared" si="61"/>
        <v>1058324.8046588486</v>
      </c>
      <c r="N146" s="53">
        <f t="shared" si="62"/>
        <v>-4925520.1253411518</v>
      </c>
      <c r="O146" s="36">
        <v>0</v>
      </c>
      <c r="P146" s="36">
        <v>0.201402</v>
      </c>
      <c r="Q146" s="36">
        <f t="shared" si="63"/>
        <v>0</v>
      </c>
      <c r="R146" s="36">
        <f t="shared" si="64"/>
        <v>0.201402</v>
      </c>
      <c r="S146" s="36">
        <f>IF(C146&lt;&gt;"Offshore",0,IFERROR(VLOOKUP(D146,'Local Tariffs'!$A$4:$B$98,2,0),VLOOKUP(A146,'Local Tariffs'!$A$4:$B$98,2,0)))</f>
        <v>0</v>
      </c>
      <c r="T146" s="36">
        <f>IF(C146&lt;&gt;"Offshore",0,VLOOKUP(I146,'Local Tariffs'!$E$4:$F$38,2,0))</f>
        <v>0</v>
      </c>
      <c r="U146" s="53">
        <f t="shared" si="65"/>
        <v>248530.068</v>
      </c>
      <c r="V146" s="53">
        <f t="shared" si="66"/>
        <v>0</v>
      </c>
      <c r="W146" s="36">
        <v>-3.7901053949279997</v>
      </c>
      <c r="X146" s="37">
        <v>-4676990.0599999996</v>
      </c>
      <c r="Y146" s="37">
        <v>0.14000000059604645</v>
      </c>
      <c r="Z146" s="38">
        <v>-3.9915073949279996</v>
      </c>
      <c r="AA146" s="39">
        <v>-4925520.13</v>
      </c>
      <c r="AB146" s="40">
        <v>1186.318</v>
      </c>
      <c r="AC146" s="41">
        <v>-4735197.07</v>
      </c>
      <c r="AD146" s="41">
        <v>190323.05999999959</v>
      </c>
      <c r="AE146" s="58">
        <f t="shared" si="67"/>
        <v>-3.9915073949279996</v>
      </c>
      <c r="AF146" s="58">
        <f t="shared" si="68"/>
        <v>0</v>
      </c>
      <c r="AG146" s="58">
        <f t="shared" si="69"/>
        <v>0</v>
      </c>
      <c r="AH146" s="41">
        <f t="shared" si="70"/>
        <v>190323.05560495696</v>
      </c>
      <c r="AI146" s="41">
        <f t="shared" si="71"/>
        <v>0</v>
      </c>
      <c r="AJ146" s="41">
        <f t="shared" si="72"/>
        <v>0</v>
      </c>
      <c r="AK146" s="42">
        <v>0</v>
      </c>
      <c r="AL146" s="41">
        <v>190323.20000000019</v>
      </c>
      <c r="AM146" s="41">
        <v>-4676990.2</v>
      </c>
      <c r="AN146" s="64">
        <f t="shared" si="73"/>
        <v>-4486667</v>
      </c>
      <c r="AO146" s="73">
        <f t="shared" si="74"/>
        <v>190323.05560495696</v>
      </c>
      <c r="AP146" s="73">
        <f t="shared" si="75"/>
        <v>0</v>
      </c>
    </row>
    <row r="147" spans="2:42" x14ac:dyDescent="0.25">
      <c r="B147" s="44" t="s">
        <v>507</v>
      </c>
      <c r="C147" s="45" t="s">
        <v>2</v>
      </c>
      <c r="D147" s="45" t="s">
        <v>324</v>
      </c>
      <c r="E147" s="45">
        <v>14</v>
      </c>
      <c r="F147" s="45" t="s">
        <v>340</v>
      </c>
      <c r="G147" s="33">
        <v>0.17477100000000001</v>
      </c>
      <c r="H147" s="34">
        <v>155</v>
      </c>
      <c r="I147" s="35" t="s">
        <v>364</v>
      </c>
      <c r="J147" s="36">
        <v>-4.849145</v>
      </c>
      <c r="K147" s="36">
        <v>-1.7607003117089999</v>
      </c>
      <c r="L147" s="53">
        <f t="shared" si="60"/>
        <v>-751617.47499999998</v>
      </c>
      <c r="M147" s="53">
        <f t="shared" si="61"/>
        <v>478708.92668510502</v>
      </c>
      <c r="N147" s="53">
        <f t="shared" si="62"/>
        <v>-272908.54831489496</v>
      </c>
      <c r="O147" s="36">
        <v>0</v>
      </c>
      <c r="P147" s="36">
        <v>0</v>
      </c>
      <c r="Q147" s="36">
        <f t="shared" si="63"/>
        <v>0</v>
      </c>
      <c r="R147" s="36">
        <f t="shared" si="64"/>
        <v>0</v>
      </c>
      <c r="S147" s="36">
        <f>IF(C147&lt;&gt;"Offshore",0,IFERROR(VLOOKUP(D147,'Local Tariffs'!$A$4:$B$98,2,0),VLOOKUP(A147,'Local Tariffs'!$A$4:$B$98,2,0)))</f>
        <v>0</v>
      </c>
      <c r="T147" s="36">
        <f>IF(C147&lt;&gt;"Offshore",0,VLOOKUP(I147,'Local Tariffs'!$E$4:$F$38,2,0))</f>
        <v>0</v>
      </c>
      <c r="U147" s="53">
        <f t="shared" si="65"/>
        <v>0</v>
      </c>
      <c r="V147" s="53">
        <f t="shared" si="66"/>
        <v>0</v>
      </c>
      <c r="W147" s="36">
        <v>-1.7607003117089999</v>
      </c>
      <c r="X147" s="37">
        <v>-272908.55</v>
      </c>
      <c r="Y147" s="37">
        <v>4.0000000037252903E-2</v>
      </c>
      <c r="Z147" s="38">
        <v>-1.7607003117089999</v>
      </c>
      <c r="AA147" s="39">
        <v>-272908.55</v>
      </c>
      <c r="AB147" s="40">
        <v>3.72</v>
      </c>
      <c r="AC147" s="41">
        <v>-6549.81</v>
      </c>
      <c r="AD147" s="41">
        <v>266358.74</v>
      </c>
      <c r="AE147" s="58">
        <f t="shared" si="67"/>
        <v>-1.7607003117089999</v>
      </c>
      <c r="AF147" s="58">
        <f t="shared" si="68"/>
        <v>0</v>
      </c>
      <c r="AG147" s="58">
        <f t="shared" si="69"/>
        <v>0</v>
      </c>
      <c r="AH147" s="41">
        <f t="shared" si="70"/>
        <v>266358.74315533752</v>
      </c>
      <c r="AI147" s="41">
        <f t="shared" si="71"/>
        <v>0</v>
      </c>
      <c r="AJ147" s="41">
        <f t="shared" si="72"/>
        <v>0</v>
      </c>
      <c r="AK147" s="42">
        <v>1500621.95</v>
      </c>
      <c r="AL147" s="41">
        <v>1766980.73</v>
      </c>
      <c r="AM147" s="41">
        <v>-272908.59000000003</v>
      </c>
      <c r="AN147" s="64">
        <f t="shared" si="73"/>
        <v>1494072.14</v>
      </c>
      <c r="AO147" s="73">
        <f t="shared" si="74"/>
        <v>266358.74315533752</v>
      </c>
      <c r="AP147" s="73">
        <f t="shared" si="75"/>
        <v>0</v>
      </c>
    </row>
    <row r="148" spans="2:42" x14ac:dyDescent="0.25">
      <c r="B148" s="44" t="s">
        <v>508</v>
      </c>
      <c r="C148" s="45" t="s">
        <v>323</v>
      </c>
      <c r="D148" s="45" t="s">
        <v>324</v>
      </c>
      <c r="E148" s="45">
        <v>21</v>
      </c>
      <c r="F148" s="45" t="s">
        <v>340</v>
      </c>
      <c r="G148" s="33">
        <v>0.39962999999999999</v>
      </c>
      <c r="H148" s="34">
        <v>850</v>
      </c>
      <c r="I148" s="35" t="s">
        <v>326</v>
      </c>
      <c r="J148" s="36">
        <v>-4.849145</v>
      </c>
      <c r="K148" s="36">
        <v>-0.97916500000000006</v>
      </c>
      <c r="L148" s="53">
        <f t="shared" si="60"/>
        <v>-4121773.25</v>
      </c>
      <c r="M148" s="53">
        <f t="shared" si="61"/>
        <v>3289483</v>
      </c>
      <c r="N148" s="53">
        <f t="shared" si="62"/>
        <v>-832290.25</v>
      </c>
      <c r="O148" s="36">
        <v>0</v>
      </c>
      <c r="P148" s="36">
        <v>0.27692499999999998</v>
      </c>
      <c r="Q148" s="36">
        <f t="shared" si="63"/>
        <v>0</v>
      </c>
      <c r="R148" s="36">
        <f t="shared" si="64"/>
        <v>0.27692499999999998</v>
      </c>
      <c r="S148" s="36">
        <f>IF(C148&lt;&gt;"Offshore",0,IFERROR(VLOOKUP(D148,'Local Tariffs'!$A$4:$B$98,2,0),VLOOKUP(A148,'Local Tariffs'!$A$4:$B$98,2,0)))</f>
        <v>0</v>
      </c>
      <c r="T148" s="36">
        <f>IF(C148&lt;&gt;"Offshore",0,VLOOKUP(I148,'Local Tariffs'!$E$4:$F$38,2,0))</f>
        <v>0</v>
      </c>
      <c r="U148" s="53">
        <f t="shared" si="65"/>
        <v>235386.25</v>
      </c>
      <c r="V148" s="53">
        <f t="shared" si="66"/>
        <v>0</v>
      </c>
      <c r="W148" s="36">
        <v>-0.70224000000000009</v>
      </c>
      <c r="X148" s="37">
        <v>-596904</v>
      </c>
      <c r="Y148" s="37">
        <v>-0.38999999989755452</v>
      </c>
      <c r="Z148" s="38">
        <v>-0.97916500000000006</v>
      </c>
      <c r="AA148" s="39">
        <v>-832290.25</v>
      </c>
      <c r="AB148" s="40">
        <v>0</v>
      </c>
      <c r="AC148" s="41">
        <v>0</v>
      </c>
      <c r="AD148" s="41">
        <v>832290.25</v>
      </c>
      <c r="AE148" s="58">
        <f t="shared" si="67"/>
        <v>-0.97916500000000006</v>
      </c>
      <c r="AF148" s="58">
        <f t="shared" si="68"/>
        <v>0</v>
      </c>
      <c r="AG148" s="58">
        <f t="shared" si="69"/>
        <v>0</v>
      </c>
      <c r="AH148" s="41">
        <f t="shared" si="70"/>
        <v>832290.25</v>
      </c>
      <c r="AI148" s="41">
        <f t="shared" si="71"/>
        <v>0</v>
      </c>
      <c r="AJ148" s="41">
        <f t="shared" si="72"/>
        <v>0</v>
      </c>
      <c r="AK148" s="42">
        <v>84356.32</v>
      </c>
      <c r="AL148" s="41">
        <v>916646.18000000017</v>
      </c>
      <c r="AM148" s="41">
        <v>-596903.6100000001</v>
      </c>
      <c r="AN148" s="64">
        <f t="shared" si="73"/>
        <v>319742.57000000007</v>
      </c>
      <c r="AO148" s="73">
        <f t="shared" si="74"/>
        <v>832290.25</v>
      </c>
      <c r="AP148" s="73">
        <f t="shared" si="75"/>
        <v>0</v>
      </c>
    </row>
    <row r="149" spans="2:42" x14ac:dyDescent="0.25">
      <c r="B149" s="44" t="s">
        <v>509</v>
      </c>
      <c r="C149" s="45" t="s">
        <v>318</v>
      </c>
      <c r="D149" s="45" t="s">
        <v>509</v>
      </c>
      <c r="E149" s="45">
        <v>18</v>
      </c>
      <c r="F149" s="45" t="s">
        <v>320</v>
      </c>
      <c r="G149" s="33">
        <v>0.504498</v>
      </c>
      <c r="H149" s="34">
        <v>315</v>
      </c>
      <c r="I149" s="35" t="s">
        <v>510</v>
      </c>
      <c r="J149" s="36">
        <v>-4.849145</v>
      </c>
      <c r="K149" s="36">
        <v>-4.3279009999999998</v>
      </c>
      <c r="L149" s="53">
        <f t="shared" si="60"/>
        <v>-1527480.675</v>
      </c>
      <c r="M149" s="53">
        <f t="shared" si="61"/>
        <v>164191.86000000007</v>
      </c>
      <c r="N149" s="53">
        <f t="shared" si="62"/>
        <v>-1363288.8149999999</v>
      </c>
      <c r="O149" s="36">
        <v>28.627704999999999</v>
      </c>
      <c r="P149" s="36">
        <v>24.410420999999999</v>
      </c>
      <c r="Q149" s="36">
        <f t="shared" si="63"/>
        <v>0</v>
      </c>
      <c r="R149" s="36">
        <f t="shared" si="64"/>
        <v>0</v>
      </c>
      <c r="S149" s="36">
        <f>IF(C149&lt;&gt;"Offshore",0,IFERROR(VLOOKUP(D149,'Local Tariffs'!$A$4:$B$98,2,0),VLOOKUP(A149,'Local Tariffs'!$A$4:$B$98,2,0)))</f>
        <v>28.627704999999999</v>
      </c>
      <c r="T149" s="36">
        <f>IF(C149&lt;&gt;"Offshore",0,VLOOKUP(I149,'Local Tariffs'!$E$4:$F$38,2,0))</f>
        <v>24.410420999999999</v>
      </c>
      <c r="U149" s="53">
        <f t="shared" si="65"/>
        <v>0</v>
      </c>
      <c r="V149" s="53">
        <f t="shared" si="66"/>
        <v>16707009.689999999</v>
      </c>
      <c r="W149" s="36">
        <v>48.710224999999994</v>
      </c>
      <c r="X149" s="37">
        <v>15343720.880000001</v>
      </c>
      <c r="Y149" s="37">
        <v>-9.0000001713633537E-2</v>
      </c>
      <c r="Z149" s="38">
        <v>-4.3279009999999998</v>
      </c>
      <c r="AA149" s="39">
        <v>-1363288.82</v>
      </c>
      <c r="AB149" s="40">
        <v>309.18733333333336</v>
      </c>
      <c r="AC149" s="41">
        <v>-1338132.17</v>
      </c>
      <c r="AD149" s="41">
        <v>25156.65000000014</v>
      </c>
      <c r="AE149" s="58">
        <f t="shared" si="67"/>
        <v>-4.3279009999999998</v>
      </c>
      <c r="AF149" s="58">
        <f t="shared" si="68"/>
        <v>0</v>
      </c>
      <c r="AG149" s="58">
        <f t="shared" si="69"/>
        <v>0</v>
      </c>
      <c r="AH149" s="41">
        <f t="shared" si="70"/>
        <v>25156.645879333231</v>
      </c>
      <c r="AI149" s="41">
        <f t="shared" si="71"/>
        <v>0</v>
      </c>
      <c r="AJ149" s="41">
        <f t="shared" si="72"/>
        <v>0</v>
      </c>
      <c r="AK149" s="42">
        <v>0</v>
      </c>
      <c r="AL149" s="41">
        <v>25156.559999998426</v>
      </c>
      <c r="AM149" s="41">
        <v>15343720.970000003</v>
      </c>
      <c r="AN149" s="64">
        <f t="shared" si="73"/>
        <v>15368877.530000001</v>
      </c>
      <c r="AO149" s="73">
        <f t="shared" si="74"/>
        <v>25156.645879333231</v>
      </c>
      <c r="AP149" s="73">
        <f t="shared" si="75"/>
        <v>0</v>
      </c>
    </row>
    <row r="150" spans="2:42" x14ac:dyDescent="0.25">
      <c r="B150" s="44" t="s">
        <v>511</v>
      </c>
      <c r="C150" s="45" t="s">
        <v>2</v>
      </c>
      <c r="D150" s="45" t="s">
        <v>324</v>
      </c>
      <c r="E150" s="45">
        <v>25</v>
      </c>
      <c r="F150" s="45" t="s">
        <v>340</v>
      </c>
      <c r="G150" s="33">
        <v>0.41782999999999998</v>
      </c>
      <c r="H150" s="34">
        <v>420</v>
      </c>
      <c r="I150" s="35" t="s">
        <v>364</v>
      </c>
      <c r="J150" s="36">
        <v>-4.849145</v>
      </c>
      <c r="K150" s="36">
        <v>-6.7714049999999997</v>
      </c>
      <c r="L150" s="53">
        <f t="shared" si="60"/>
        <v>-2036640.9000000001</v>
      </c>
      <c r="M150" s="53">
        <f t="shared" si="61"/>
        <v>-807349.19999999984</v>
      </c>
      <c r="N150" s="53">
        <f t="shared" si="62"/>
        <v>-2843990.1</v>
      </c>
      <c r="O150" s="36">
        <v>0</v>
      </c>
      <c r="P150" s="36">
        <v>0</v>
      </c>
      <c r="Q150" s="36">
        <f t="shared" si="63"/>
        <v>0</v>
      </c>
      <c r="R150" s="36">
        <f t="shared" si="64"/>
        <v>0</v>
      </c>
      <c r="S150" s="36">
        <f>IF(C150&lt;&gt;"Offshore",0,IFERROR(VLOOKUP(D150,'Local Tariffs'!$A$4:$B$98,2,0),VLOOKUP(A150,'Local Tariffs'!$A$4:$B$98,2,0)))</f>
        <v>0</v>
      </c>
      <c r="T150" s="36">
        <f>IF(C150&lt;&gt;"Offshore",0,VLOOKUP(I150,'Local Tariffs'!$E$4:$F$38,2,0))</f>
        <v>0</v>
      </c>
      <c r="U150" s="53">
        <f t="shared" si="65"/>
        <v>0</v>
      </c>
      <c r="V150" s="53">
        <f t="shared" si="66"/>
        <v>0</v>
      </c>
      <c r="W150" s="36">
        <v>-6.7714049999999997</v>
      </c>
      <c r="X150" s="37">
        <v>-2843990.1</v>
      </c>
      <c r="Y150" s="37">
        <v>0.10000000009313226</v>
      </c>
      <c r="Z150" s="38">
        <v>-6.7714049999999997</v>
      </c>
      <c r="AA150" s="39">
        <v>-2843990.1</v>
      </c>
      <c r="AB150" s="40">
        <v>407.35066666666671</v>
      </c>
      <c r="AC150" s="41">
        <v>-2758336.34</v>
      </c>
      <c r="AD150" s="41">
        <v>85653.760000000242</v>
      </c>
      <c r="AE150" s="58">
        <f t="shared" si="67"/>
        <v>-6.7714049999999997</v>
      </c>
      <c r="AF150" s="58">
        <f t="shared" si="68"/>
        <v>0</v>
      </c>
      <c r="AG150" s="58">
        <f t="shared" si="69"/>
        <v>0</v>
      </c>
      <c r="AH150" s="41">
        <f t="shared" si="70"/>
        <v>85653.758979999693</v>
      </c>
      <c r="AI150" s="41">
        <f t="shared" si="71"/>
        <v>0</v>
      </c>
      <c r="AJ150" s="41">
        <f t="shared" si="72"/>
        <v>0</v>
      </c>
      <c r="AK150" s="42">
        <v>49194.28</v>
      </c>
      <c r="AL150" s="41">
        <v>134848.14000000033</v>
      </c>
      <c r="AM150" s="41">
        <v>-2843990.2</v>
      </c>
      <c r="AN150" s="64">
        <f t="shared" si="73"/>
        <v>-2709142.06</v>
      </c>
      <c r="AO150" s="73">
        <f t="shared" si="74"/>
        <v>61338.451486666447</v>
      </c>
      <c r="AP150" s="73">
        <f t="shared" si="75"/>
        <v>24315.307493333243</v>
      </c>
    </row>
    <row r="151" spans="2:42" x14ac:dyDescent="0.25">
      <c r="B151" s="44" t="s">
        <v>512</v>
      </c>
      <c r="C151" s="45" t="s">
        <v>323</v>
      </c>
      <c r="D151" s="45" t="s">
        <v>324</v>
      </c>
      <c r="E151" s="45">
        <v>18</v>
      </c>
      <c r="F151" s="45" t="s">
        <v>395</v>
      </c>
      <c r="G151" s="33">
        <v>0.88148800000000005</v>
      </c>
      <c r="H151" s="34">
        <v>1230</v>
      </c>
      <c r="I151" s="35" t="s">
        <v>356</v>
      </c>
      <c r="J151" s="36">
        <v>-4.849145</v>
      </c>
      <c r="K151" s="36">
        <v>-2.909567</v>
      </c>
      <c r="L151" s="53">
        <f t="shared" si="60"/>
        <v>-5964448.3499999996</v>
      </c>
      <c r="M151" s="53">
        <f t="shared" si="61"/>
        <v>2385680.9400000004</v>
      </c>
      <c r="N151" s="53">
        <f t="shared" si="62"/>
        <v>-3578767.4099999992</v>
      </c>
      <c r="O151" s="36">
        <v>0</v>
      </c>
      <c r="P151" s="36">
        <v>0.201402</v>
      </c>
      <c r="Q151" s="36">
        <f t="shared" si="63"/>
        <v>0</v>
      </c>
      <c r="R151" s="36">
        <f t="shared" si="64"/>
        <v>0.201402</v>
      </c>
      <c r="S151" s="36">
        <f>IF(C151&lt;&gt;"Offshore",0,IFERROR(VLOOKUP(D151,'Local Tariffs'!$A$4:$B$98,2,0),VLOOKUP(A151,'Local Tariffs'!$A$4:$B$98,2,0)))</f>
        <v>0</v>
      </c>
      <c r="T151" s="36">
        <f>IF(C151&lt;&gt;"Offshore",0,VLOOKUP(I151,'Local Tariffs'!$E$4:$F$38,2,0))</f>
        <v>0</v>
      </c>
      <c r="U151" s="53">
        <f t="shared" si="65"/>
        <v>247724.46</v>
      </c>
      <c r="V151" s="53">
        <f t="shared" si="66"/>
        <v>0</v>
      </c>
      <c r="W151" s="36">
        <v>-2.7081650000000002</v>
      </c>
      <c r="X151" s="37">
        <v>-3331042.95</v>
      </c>
      <c r="Y151" s="37">
        <v>-0.13999999966472387</v>
      </c>
      <c r="Z151" s="38">
        <v>-2.909567</v>
      </c>
      <c r="AA151" s="39">
        <v>-3578767.41</v>
      </c>
      <c r="AB151" s="40">
        <v>1212.4266666666665</v>
      </c>
      <c r="AC151" s="41">
        <v>-3527636.62</v>
      </c>
      <c r="AD151" s="41">
        <v>51130.790000000037</v>
      </c>
      <c r="AE151" s="58">
        <f t="shared" si="67"/>
        <v>-2.909567</v>
      </c>
      <c r="AF151" s="58">
        <f t="shared" si="68"/>
        <v>0</v>
      </c>
      <c r="AG151" s="58">
        <f t="shared" si="69"/>
        <v>0</v>
      </c>
      <c r="AH151" s="41">
        <f t="shared" si="70"/>
        <v>51130.790746667131</v>
      </c>
      <c r="AI151" s="41">
        <f t="shared" si="71"/>
        <v>0</v>
      </c>
      <c r="AJ151" s="41">
        <f t="shared" si="72"/>
        <v>0</v>
      </c>
      <c r="AK151" s="42">
        <v>0</v>
      </c>
      <c r="AL151" s="41">
        <v>51130.650000000373</v>
      </c>
      <c r="AM151" s="41">
        <v>-3331042.8100000005</v>
      </c>
      <c r="AN151" s="64">
        <f t="shared" si="73"/>
        <v>-3279912.16</v>
      </c>
      <c r="AO151" s="73">
        <f t="shared" si="74"/>
        <v>51130.790746667131</v>
      </c>
      <c r="AP151" s="73">
        <f t="shared" si="75"/>
        <v>0</v>
      </c>
    </row>
    <row r="152" spans="2:42" x14ac:dyDescent="0.25">
      <c r="B152" s="44" t="s">
        <v>513</v>
      </c>
      <c r="C152" s="45" t="s">
        <v>323</v>
      </c>
      <c r="D152" s="45" t="s">
        <v>324</v>
      </c>
      <c r="E152" s="45">
        <v>8</v>
      </c>
      <c r="F152" s="45" t="s">
        <v>333</v>
      </c>
      <c r="G152" s="33">
        <v>0.119329</v>
      </c>
      <c r="H152" s="34">
        <v>80</v>
      </c>
      <c r="I152" s="35" t="s">
        <v>321</v>
      </c>
      <c r="J152" s="36">
        <v>-4.849145</v>
      </c>
      <c r="K152" s="36">
        <v>1.2113710000000015</v>
      </c>
      <c r="L152" s="53">
        <f t="shared" si="60"/>
        <v>-387931.6</v>
      </c>
      <c r="M152" s="53">
        <f t="shared" si="61"/>
        <v>484841.28000000009</v>
      </c>
      <c r="N152" s="53">
        <f t="shared" si="62"/>
        <v>96909.680000000109</v>
      </c>
      <c r="O152" s="36">
        <v>0</v>
      </c>
      <c r="P152" s="36">
        <v>0.203179</v>
      </c>
      <c r="Q152" s="36">
        <f t="shared" si="63"/>
        <v>0</v>
      </c>
      <c r="R152" s="36">
        <f t="shared" si="64"/>
        <v>0.203179</v>
      </c>
      <c r="S152" s="36">
        <f>IF(C152&lt;&gt;"Offshore",0,IFERROR(VLOOKUP(D152,'Local Tariffs'!$A$4:$B$98,2,0),VLOOKUP(A152,'Local Tariffs'!$A$4:$B$98,2,0)))</f>
        <v>0</v>
      </c>
      <c r="T152" s="36">
        <f>IF(C152&lt;&gt;"Offshore",0,VLOOKUP(I152,'Local Tariffs'!$E$4:$F$38,2,0))</f>
        <v>0</v>
      </c>
      <c r="U152" s="53">
        <f t="shared" si="65"/>
        <v>16254.32</v>
      </c>
      <c r="V152" s="53">
        <f t="shared" si="66"/>
        <v>0</v>
      </c>
      <c r="W152" s="36">
        <v>1.4145500000000015</v>
      </c>
      <c r="X152" s="37">
        <v>113164</v>
      </c>
      <c r="Y152" s="37">
        <v>0</v>
      </c>
      <c r="Z152" s="38">
        <v>0</v>
      </c>
      <c r="AA152" s="39">
        <v>0</v>
      </c>
      <c r="AB152" s="40">
        <v>0</v>
      </c>
      <c r="AC152" s="41">
        <v>0</v>
      </c>
      <c r="AD152" s="41">
        <v>0</v>
      </c>
      <c r="AE152" s="58">
        <f t="shared" si="67"/>
        <v>0</v>
      </c>
      <c r="AF152" s="58">
        <f t="shared" si="68"/>
        <v>0</v>
      </c>
      <c r="AG152" s="58">
        <f t="shared" si="69"/>
        <v>0</v>
      </c>
      <c r="AH152" s="41">
        <f t="shared" si="70"/>
        <v>0</v>
      </c>
      <c r="AI152" s="41">
        <f t="shared" si="71"/>
        <v>0</v>
      </c>
      <c r="AJ152" s="41">
        <f t="shared" si="72"/>
        <v>0</v>
      </c>
      <c r="AK152" s="42">
        <v>0</v>
      </c>
      <c r="AL152" s="41">
        <v>0</v>
      </c>
      <c r="AM152" s="41">
        <v>113164</v>
      </c>
      <c r="AN152" s="64">
        <f t="shared" si="73"/>
        <v>113164</v>
      </c>
      <c r="AO152" s="73">
        <f t="shared" si="74"/>
        <v>0</v>
      </c>
      <c r="AP152" s="73">
        <f t="shared" si="75"/>
        <v>0</v>
      </c>
    </row>
    <row r="153" spans="2:42" x14ac:dyDescent="0.25">
      <c r="B153" s="44" t="s">
        <v>514</v>
      </c>
      <c r="C153" s="45" t="s">
        <v>323</v>
      </c>
      <c r="D153" s="45" t="s">
        <v>514</v>
      </c>
      <c r="E153" s="45">
        <v>15</v>
      </c>
      <c r="F153" s="45" t="s">
        <v>340</v>
      </c>
      <c r="G153" s="33">
        <v>0.39253300000000002</v>
      </c>
      <c r="H153" s="34">
        <v>1365</v>
      </c>
      <c r="I153" s="35" t="s">
        <v>362</v>
      </c>
      <c r="J153" s="36">
        <v>-4.849145</v>
      </c>
      <c r="K153" s="36">
        <v>0.39553496882500028</v>
      </c>
      <c r="L153" s="53">
        <f t="shared" si="60"/>
        <v>-6619082.9249999998</v>
      </c>
      <c r="M153" s="53">
        <f t="shared" si="61"/>
        <v>7158988.1574461255</v>
      </c>
      <c r="N153" s="53">
        <f t="shared" si="62"/>
        <v>539905.23244612571</v>
      </c>
      <c r="O153" s="36">
        <v>0.41864299999999999</v>
      </c>
      <c r="P153" s="36">
        <v>0.43671900000000002</v>
      </c>
      <c r="Q153" s="36">
        <f t="shared" si="63"/>
        <v>0.41864299999999999</v>
      </c>
      <c r="R153" s="36">
        <f t="shared" si="64"/>
        <v>0.43671900000000002</v>
      </c>
      <c r="S153" s="36">
        <f>IF(C153&lt;&gt;"Offshore",0,IFERROR(VLOOKUP(D153,'Local Tariffs'!$A$4:$B$98,2,0),VLOOKUP(A153,'Local Tariffs'!$A$4:$B$98,2,0)))</f>
        <v>0</v>
      </c>
      <c r="T153" s="36">
        <f>IF(C153&lt;&gt;"Offshore",0,VLOOKUP(I153,'Local Tariffs'!$E$4:$F$38,2,0))</f>
        <v>0</v>
      </c>
      <c r="U153" s="53">
        <f t="shared" si="65"/>
        <v>1167569.1299999999</v>
      </c>
      <c r="V153" s="53">
        <f t="shared" si="66"/>
        <v>0</v>
      </c>
      <c r="W153" s="36">
        <v>1.2508969688250002</v>
      </c>
      <c r="X153" s="37">
        <v>1707474.36</v>
      </c>
      <c r="Y153" s="37">
        <v>0.18999999994412065</v>
      </c>
      <c r="Z153" s="38">
        <v>0</v>
      </c>
      <c r="AA153" s="39">
        <v>0</v>
      </c>
      <c r="AB153" s="40">
        <v>0</v>
      </c>
      <c r="AC153" s="41">
        <v>0</v>
      </c>
      <c r="AD153" s="41">
        <v>0</v>
      </c>
      <c r="AE153" s="58">
        <f t="shared" si="67"/>
        <v>0</v>
      </c>
      <c r="AF153" s="58">
        <f t="shared" si="68"/>
        <v>0</v>
      </c>
      <c r="AG153" s="58">
        <f t="shared" si="69"/>
        <v>0</v>
      </c>
      <c r="AH153" s="41">
        <f t="shared" si="70"/>
        <v>0</v>
      </c>
      <c r="AI153" s="41">
        <f t="shared" si="71"/>
        <v>0</v>
      </c>
      <c r="AJ153" s="41">
        <f t="shared" si="72"/>
        <v>0</v>
      </c>
      <c r="AK153" s="42">
        <v>0</v>
      </c>
      <c r="AL153" s="41">
        <v>0.18999999994412065</v>
      </c>
      <c r="AM153" s="41">
        <v>1707474.1700000002</v>
      </c>
      <c r="AN153" s="64">
        <f t="shared" si="73"/>
        <v>1707474.36</v>
      </c>
      <c r="AO153" s="73">
        <f t="shared" si="74"/>
        <v>0</v>
      </c>
      <c r="AP153" s="73">
        <f t="shared" si="75"/>
        <v>0</v>
      </c>
    </row>
    <row r="154" spans="2:42" x14ac:dyDescent="0.25">
      <c r="B154" s="44" t="s">
        <v>515</v>
      </c>
      <c r="C154" s="45" t="s">
        <v>323</v>
      </c>
      <c r="D154" s="45" t="s">
        <v>515</v>
      </c>
      <c r="E154" s="45">
        <v>17</v>
      </c>
      <c r="F154" s="45" t="s">
        <v>340</v>
      </c>
      <c r="G154" s="33">
        <v>0.46739399999999998</v>
      </c>
      <c r="H154" s="34">
        <v>950</v>
      </c>
      <c r="I154" s="35" t="s">
        <v>356</v>
      </c>
      <c r="J154" s="36">
        <v>-4.849145</v>
      </c>
      <c r="K154" s="36">
        <v>-2.9019089999999998</v>
      </c>
      <c r="L154" s="53">
        <f t="shared" si="60"/>
        <v>-4606687.75</v>
      </c>
      <c r="M154" s="53">
        <f t="shared" si="61"/>
        <v>1849874.2000000002</v>
      </c>
      <c r="N154" s="53">
        <f t="shared" si="62"/>
        <v>-2756813.55</v>
      </c>
      <c r="O154" s="36">
        <v>0.28681099999999998</v>
      </c>
      <c r="P154" s="36">
        <v>0.201402</v>
      </c>
      <c r="Q154" s="36">
        <f t="shared" si="63"/>
        <v>0.28681099999999998</v>
      </c>
      <c r="R154" s="36">
        <f t="shared" si="64"/>
        <v>0.201402</v>
      </c>
      <c r="S154" s="36">
        <f>IF(C154&lt;&gt;"Offshore",0,IFERROR(VLOOKUP(D154,'Local Tariffs'!$A$4:$B$98,2,0),VLOOKUP(A154,'Local Tariffs'!$A$4:$B$98,2,0)))</f>
        <v>0</v>
      </c>
      <c r="T154" s="36">
        <f>IF(C154&lt;&gt;"Offshore",0,VLOOKUP(I154,'Local Tariffs'!$E$4:$F$38,2,0))</f>
        <v>0</v>
      </c>
      <c r="U154" s="53">
        <f t="shared" si="65"/>
        <v>463802.35</v>
      </c>
      <c r="V154" s="53">
        <f t="shared" si="66"/>
        <v>0</v>
      </c>
      <c r="W154" s="36">
        <v>-2.4136959999999998</v>
      </c>
      <c r="X154" s="37">
        <v>-2293011.2000000002</v>
      </c>
      <c r="Y154" s="37">
        <v>7.9999999608844519E-2</v>
      </c>
      <c r="Z154" s="38">
        <v>-2.9019089999999998</v>
      </c>
      <c r="AA154" s="39">
        <v>-2756813.55</v>
      </c>
      <c r="AB154" s="40">
        <v>881.5333333333333</v>
      </c>
      <c r="AC154" s="41">
        <v>-2558129.5099999998</v>
      </c>
      <c r="AD154" s="41">
        <v>198684.04000000004</v>
      </c>
      <c r="AE154" s="58">
        <f t="shared" si="67"/>
        <v>-2.9019089999999998</v>
      </c>
      <c r="AF154" s="58">
        <f t="shared" si="68"/>
        <v>0</v>
      </c>
      <c r="AG154" s="58">
        <f t="shared" si="69"/>
        <v>0</v>
      </c>
      <c r="AH154" s="41">
        <f t="shared" si="70"/>
        <v>198684.03620000006</v>
      </c>
      <c r="AI154" s="41">
        <f t="shared" si="71"/>
        <v>0</v>
      </c>
      <c r="AJ154" s="41">
        <f t="shared" si="72"/>
        <v>0</v>
      </c>
      <c r="AK154" s="42">
        <v>0</v>
      </c>
      <c r="AL154" s="41">
        <v>198684.11999999965</v>
      </c>
      <c r="AM154" s="41">
        <v>-2293011.2799999998</v>
      </c>
      <c r="AN154" s="64">
        <f t="shared" si="73"/>
        <v>-2094327.1600000001</v>
      </c>
      <c r="AO154" s="73">
        <f t="shared" si="74"/>
        <v>198684.03620000006</v>
      </c>
      <c r="AP154" s="73">
        <f t="shared" si="75"/>
        <v>0</v>
      </c>
    </row>
    <row r="155" spans="2:42" x14ac:dyDescent="0.25">
      <c r="B155" s="44" t="s">
        <v>516</v>
      </c>
      <c r="C155" s="45" t="s">
        <v>323</v>
      </c>
      <c r="D155" s="45" t="s">
        <v>515</v>
      </c>
      <c r="E155" s="45">
        <v>17</v>
      </c>
      <c r="F155" s="45" t="s">
        <v>340</v>
      </c>
      <c r="G155" s="33">
        <v>0.50946999999999998</v>
      </c>
      <c r="H155" s="34">
        <v>299.99</v>
      </c>
      <c r="I155" s="35" t="s">
        <v>356</v>
      </c>
      <c r="J155" s="36">
        <v>-4.849145</v>
      </c>
      <c r="K155" s="36">
        <v>-2.8862170000000003</v>
      </c>
      <c r="L155" s="53">
        <f t="shared" si="60"/>
        <v>-1454695.0085499999</v>
      </c>
      <c r="M155" s="53">
        <f t="shared" si="61"/>
        <v>588858.77071999991</v>
      </c>
      <c r="N155" s="53">
        <f t="shared" si="62"/>
        <v>-865836.23783</v>
      </c>
      <c r="O155" s="36">
        <v>0.28681099999999998</v>
      </c>
      <c r="P155" s="36">
        <v>0.201402</v>
      </c>
      <c r="Q155" s="36">
        <f t="shared" si="63"/>
        <v>0.28681099999999998</v>
      </c>
      <c r="R155" s="36">
        <f t="shared" si="64"/>
        <v>0.201402</v>
      </c>
      <c r="S155" s="36">
        <f>IF(C155&lt;&gt;"Offshore",0,IFERROR(VLOOKUP(D155,'Local Tariffs'!$A$4:$B$98,2,0),VLOOKUP(A155,'Local Tariffs'!$A$4:$B$98,2,0)))</f>
        <v>0</v>
      </c>
      <c r="T155" s="36">
        <f>IF(C155&lt;&gt;"Offshore",0,VLOOKUP(I155,'Local Tariffs'!$E$4:$F$38,2,0))</f>
        <v>0</v>
      </c>
      <c r="U155" s="53">
        <f t="shared" si="65"/>
        <v>146459.01787000001</v>
      </c>
      <c r="V155" s="53">
        <f t="shared" si="66"/>
        <v>0</v>
      </c>
      <c r="W155" s="36">
        <v>-2.3980040000000002</v>
      </c>
      <c r="X155" s="37">
        <v>-719377.22</v>
      </c>
      <c r="Y155" s="37">
        <v>7.9999999958090484E-2</v>
      </c>
      <c r="Z155" s="38">
        <v>-2.8862170000000003</v>
      </c>
      <c r="AA155" s="39">
        <v>-865836.24</v>
      </c>
      <c r="AB155" s="40">
        <v>299.19800000000004</v>
      </c>
      <c r="AC155" s="41">
        <v>-863550.35</v>
      </c>
      <c r="AD155" s="41">
        <v>2285.890000000014</v>
      </c>
      <c r="AE155" s="58">
        <f t="shared" si="67"/>
        <v>-2.8862170000000003</v>
      </c>
      <c r="AF155" s="58">
        <f t="shared" si="68"/>
        <v>0</v>
      </c>
      <c r="AG155" s="58">
        <f t="shared" si="69"/>
        <v>0</v>
      </c>
      <c r="AH155" s="41">
        <f t="shared" si="70"/>
        <v>2285.8838639999231</v>
      </c>
      <c r="AI155" s="41">
        <f t="shared" si="71"/>
        <v>0</v>
      </c>
      <c r="AJ155" s="41">
        <f t="shared" si="72"/>
        <v>0</v>
      </c>
      <c r="AK155" s="42">
        <v>0</v>
      </c>
      <c r="AL155" s="41">
        <v>2285.9699999999721</v>
      </c>
      <c r="AM155" s="41">
        <v>-719377.29999999993</v>
      </c>
      <c r="AN155" s="64">
        <f t="shared" si="73"/>
        <v>-717091.33</v>
      </c>
      <c r="AO155" s="73">
        <f t="shared" si="74"/>
        <v>2285.8838639999231</v>
      </c>
      <c r="AP155" s="73">
        <f t="shared" si="75"/>
        <v>0</v>
      </c>
    </row>
    <row r="156" spans="2:42" x14ac:dyDescent="0.25">
      <c r="B156" s="44" t="s">
        <v>517</v>
      </c>
      <c r="C156" s="45" t="s">
        <v>323</v>
      </c>
      <c r="D156" s="45" t="s">
        <v>324</v>
      </c>
      <c r="E156" s="45">
        <v>16</v>
      </c>
      <c r="F156" s="45" t="s">
        <v>340</v>
      </c>
      <c r="G156" s="33">
        <v>0.60905699999999996</v>
      </c>
      <c r="H156" s="34">
        <v>1752</v>
      </c>
      <c r="I156" s="35" t="s">
        <v>362</v>
      </c>
      <c r="J156" s="36">
        <v>-4.849145</v>
      </c>
      <c r="K156" s="36">
        <v>-1.2673690000000004</v>
      </c>
      <c r="L156" s="53">
        <f t="shared" si="60"/>
        <v>-8495702.040000001</v>
      </c>
      <c r="M156" s="53">
        <f t="shared" si="61"/>
        <v>6275271.5519999992</v>
      </c>
      <c r="N156" s="53">
        <f t="shared" si="62"/>
        <v>-2220430.4880000018</v>
      </c>
      <c r="O156" s="36">
        <v>0</v>
      </c>
      <c r="P156" s="36">
        <v>0.43671900000000002</v>
      </c>
      <c r="Q156" s="36">
        <f t="shared" si="63"/>
        <v>0</v>
      </c>
      <c r="R156" s="36">
        <f t="shared" si="64"/>
        <v>0.43671900000000002</v>
      </c>
      <c r="S156" s="36">
        <f>IF(C156&lt;&gt;"Offshore",0,IFERROR(VLOOKUP(D156,'Local Tariffs'!$A$4:$B$98,2,0),VLOOKUP(A156,'Local Tariffs'!$A$4:$B$98,2,0)))</f>
        <v>0</v>
      </c>
      <c r="T156" s="36">
        <f>IF(C156&lt;&gt;"Offshore",0,VLOOKUP(I156,'Local Tariffs'!$E$4:$F$38,2,0))</f>
        <v>0</v>
      </c>
      <c r="U156" s="53">
        <f t="shared" si="65"/>
        <v>765131.68800000008</v>
      </c>
      <c r="V156" s="53">
        <f t="shared" si="66"/>
        <v>0</v>
      </c>
      <c r="W156" s="36">
        <v>-0.83065000000000033</v>
      </c>
      <c r="X156" s="37">
        <v>-1455298.8</v>
      </c>
      <c r="Y156" s="37">
        <v>0.36999999941326678</v>
      </c>
      <c r="Z156" s="38">
        <v>-1.2673690000000004</v>
      </c>
      <c r="AA156" s="39">
        <v>-2220430.4900000002</v>
      </c>
      <c r="AB156" s="40">
        <v>1700.4826666666668</v>
      </c>
      <c r="AC156" s="41">
        <v>-2155139.02</v>
      </c>
      <c r="AD156" s="41">
        <v>65291.470000000205</v>
      </c>
      <c r="AE156" s="58">
        <f t="shared" si="67"/>
        <v>-1.2673690000000004</v>
      </c>
      <c r="AF156" s="58">
        <f t="shared" si="68"/>
        <v>0</v>
      </c>
      <c r="AG156" s="58">
        <f t="shared" si="69"/>
        <v>0</v>
      </c>
      <c r="AH156" s="41">
        <f t="shared" si="70"/>
        <v>65291.471229333227</v>
      </c>
      <c r="AI156" s="41">
        <f t="shared" si="71"/>
        <v>0</v>
      </c>
      <c r="AJ156" s="41">
        <f t="shared" si="72"/>
        <v>0</v>
      </c>
      <c r="AK156" s="42">
        <v>0</v>
      </c>
      <c r="AL156" s="41">
        <v>65291.839999999618</v>
      </c>
      <c r="AM156" s="41">
        <v>-1455299.1699999995</v>
      </c>
      <c r="AN156" s="64">
        <f t="shared" si="73"/>
        <v>-1390007.3299999998</v>
      </c>
      <c r="AO156" s="73">
        <f t="shared" si="74"/>
        <v>65291.471229333227</v>
      </c>
      <c r="AP156" s="73">
        <f t="shared" si="75"/>
        <v>0</v>
      </c>
    </row>
    <row r="157" spans="2:42" x14ac:dyDescent="0.25">
      <c r="B157" s="44" t="s">
        <v>518</v>
      </c>
      <c r="C157" s="45" t="s">
        <v>323</v>
      </c>
      <c r="D157" s="45" t="s">
        <v>519</v>
      </c>
      <c r="E157" s="45">
        <v>1</v>
      </c>
      <c r="F157" s="45" t="s">
        <v>328</v>
      </c>
      <c r="G157" s="33">
        <v>0.36833700000000003</v>
      </c>
      <c r="H157" s="34">
        <v>67.650000000000006</v>
      </c>
      <c r="I157" s="35" t="s">
        <v>321</v>
      </c>
      <c r="J157" s="36">
        <v>-4.849145</v>
      </c>
      <c r="K157" s="36">
        <v>6.3086610000000025</v>
      </c>
      <c r="L157" s="53">
        <f t="shared" si="60"/>
        <v>-328044.65925000003</v>
      </c>
      <c r="M157" s="53">
        <f t="shared" si="61"/>
        <v>754825.57590000017</v>
      </c>
      <c r="N157" s="53">
        <f t="shared" si="62"/>
        <v>426780.91665000014</v>
      </c>
      <c r="O157" s="36">
        <v>1.898434</v>
      </c>
      <c r="P157" s="36">
        <v>0.203179</v>
      </c>
      <c r="Q157" s="36">
        <f t="shared" si="63"/>
        <v>1.898434</v>
      </c>
      <c r="R157" s="36">
        <f t="shared" si="64"/>
        <v>0.203179</v>
      </c>
      <c r="S157" s="36">
        <f>IF(C157&lt;&gt;"Offshore",0,IFERROR(VLOOKUP(D157,'Local Tariffs'!$A$4:$B$98,2,0),VLOOKUP(A157,'Local Tariffs'!$A$4:$B$98,2,0)))</f>
        <v>0</v>
      </c>
      <c r="T157" s="36">
        <f>IF(C157&lt;&gt;"Offshore",0,VLOOKUP(I157,'Local Tariffs'!$E$4:$F$38,2,0))</f>
        <v>0</v>
      </c>
      <c r="U157" s="53">
        <f t="shared" si="65"/>
        <v>142174.11945</v>
      </c>
      <c r="V157" s="53">
        <f t="shared" si="66"/>
        <v>0</v>
      </c>
      <c r="W157" s="36">
        <v>8.4102740000000029</v>
      </c>
      <c r="X157" s="37">
        <v>568955.04</v>
      </c>
      <c r="Y157" s="37">
        <v>-9.9999998928979039E-3</v>
      </c>
      <c r="Z157" s="38">
        <v>0</v>
      </c>
      <c r="AA157" s="39">
        <v>0</v>
      </c>
      <c r="AB157" s="40">
        <v>0</v>
      </c>
      <c r="AC157" s="41">
        <v>0</v>
      </c>
      <c r="AD157" s="41">
        <v>0</v>
      </c>
      <c r="AE157" s="58">
        <f t="shared" si="67"/>
        <v>0</v>
      </c>
      <c r="AF157" s="58">
        <f t="shared" si="68"/>
        <v>0</v>
      </c>
      <c r="AG157" s="58">
        <f t="shared" si="69"/>
        <v>0</v>
      </c>
      <c r="AH157" s="41">
        <f t="shared" si="70"/>
        <v>0</v>
      </c>
      <c r="AI157" s="41">
        <f t="shared" si="71"/>
        <v>0</v>
      </c>
      <c r="AJ157" s="41">
        <f t="shared" si="72"/>
        <v>0</v>
      </c>
      <c r="AK157" s="42">
        <v>2098.6</v>
      </c>
      <c r="AL157" s="41">
        <v>2098.590000000107</v>
      </c>
      <c r="AM157" s="41">
        <v>568955.04999999993</v>
      </c>
      <c r="AN157" s="64">
        <f t="shared" si="73"/>
        <v>571053.64</v>
      </c>
      <c r="AO157" s="73">
        <f t="shared" si="74"/>
        <v>0</v>
      </c>
      <c r="AP157" s="73">
        <f t="shared" si="75"/>
        <v>0</v>
      </c>
    </row>
    <row r="158" spans="2:42" x14ac:dyDescent="0.25">
      <c r="B158" s="44" t="s">
        <v>520</v>
      </c>
      <c r="C158" s="45" t="s">
        <v>323</v>
      </c>
      <c r="D158" s="45" t="s">
        <v>520</v>
      </c>
      <c r="E158" s="45">
        <v>5</v>
      </c>
      <c r="F158" s="45" t="s">
        <v>328</v>
      </c>
      <c r="G158" s="33">
        <v>0.405555</v>
      </c>
      <c r="H158" s="34">
        <v>227.8</v>
      </c>
      <c r="I158" s="35" t="s">
        <v>321</v>
      </c>
      <c r="J158" s="36">
        <v>-4.849145</v>
      </c>
      <c r="K158" s="36">
        <v>16.621355999999999</v>
      </c>
      <c r="L158" s="53">
        <f t="shared" si="60"/>
        <v>-1104635.2309999999</v>
      </c>
      <c r="M158" s="53">
        <f t="shared" si="61"/>
        <v>4890980.1277999999</v>
      </c>
      <c r="N158" s="53">
        <f t="shared" si="62"/>
        <v>3786344.8968000002</v>
      </c>
      <c r="O158" s="36">
        <v>1.088627</v>
      </c>
      <c r="P158" s="36">
        <v>0.203179</v>
      </c>
      <c r="Q158" s="36">
        <f t="shared" si="63"/>
        <v>1.088627</v>
      </c>
      <c r="R158" s="36">
        <f t="shared" si="64"/>
        <v>0.203179</v>
      </c>
      <c r="S158" s="36">
        <f>IF(C158&lt;&gt;"Offshore",0,IFERROR(VLOOKUP(D158,'Local Tariffs'!$A$4:$B$98,2,0),VLOOKUP(A158,'Local Tariffs'!$A$4:$B$98,2,0)))</f>
        <v>0</v>
      </c>
      <c r="T158" s="36">
        <f>IF(C158&lt;&gt;"Offshore",0,VLOOKUP(I158,'Local Tariffs'!$E$4:$F$38,2,0))</f>
        <v>0</v>
      </c>
      <c r="U158" s="53">
        <f t="shared" si="65"/>
        <v>294273.40680000006</v>
      </c>
      <c r="V158" s="53">
        <f t="shared" si="66"/>
        <v>0</v>
      </c>
      <c r="W158" s="36">
        <v>17.913161999999996</v>
      </c>
      <c r="X158" s="37">
        <v>4080618.3</v>
      </c>
      <c r="Y158" s="37">
        <v>-9.0000000782310963E-2</v>
      </c>
      <c r="Z158" s="38">
        <v>0</v>
      </c>
      <c r="AA158" s="39">
        <v>0</v>
      </c>
      <c r="AB158" s="40">
        <v>0</v>
      </c>
      <c r="AC158" s="41">
        <v>0</v>
      </c>
      <c r="AD158" s="41">
        <v>0</v>
      </c>
      <c r="AE158" s="58">
        <f t="shared" si="67"/>
        <v>0</v>
      </c>
      <c r="AF158" s="58">
        <f t="shared" si="68"/>
        <v>0</v>
      </c>
      <c r="AG158" s="58">
        <f t="shared" si="69"/>
        <v>0</v>
      </c>
      <c r="AH158" s="41">
        <f t="shared" si="70"/>
        <v>0</v>
      </c>
      <c r="AI158" s="41">
        <f t="shared" si="71"/>
        <v>0</v>
      </c>
      <c r="AJ158" s="41">
        <f t="shared" si="72"/>
        <v>0</v>
      </c>
      <c r="AK158" s="42">
        <v>0</v>
      </c>
      <c r="AL158" s="41">
        <v>-9.0000000782310963E-2</v>
      </c>
      <c r="AM158" s="41">
        <v>4080618.3900000006</v>
      </c>
      <c r="AN158" s="64">
        <f t="shared" si="73"/>
        <v>4080618.3</v>
      </c>
      <c r="AO158" s="73">
        <f t="shared" si="74"/>
        <v>0</v>
      </c>
      <c r="AP158" s="73">
        <f t="shared" si="75"/>
        <v>0</v>
      </c>
    </row>
    <row r="159" spans="2:42" x14ac:dyDescent="0.25">
      <c r="B159" s="44" t="s">
        <v>521</v>
      </c>
      <c r="C159" s="45" t="s">
        <v>323</v>
      </c>
      <c r="D159" s="45" t="s">
        <v>324</v>
      </c>
      <c r="E159" s="45">
        <v>17</v>
      </c>
      <c r="F159" s="45" t="s">
        <v>340</v>
      </c>
      <c r="G159" s="33">
        <v>0.229154</v>
      </c>
      <c r="H159" s="34">
        <v>850</v>
      </c>
      <c r="I159" s="35" t="s">
        <v>356</v>
      </c>
      <c r="J159" s="36">
        <v>-4.849145</v>
      </c>
      <c r="K159" s="36">
        <v>-2.990758</v>
      </c>
      <c r="L159" s="53">
        <f t="shared" si="60"/>
        <v>-4121773.25</v>
      </c>
      <c r="M159" s="53">
        <f t="shared" si="61"/>
        <v>1579628.95</v>
      </c>
      <c r="N159" s="53">
        <f t="shared" si="62"/>
        <v>-2542144.2999999998</v>
      </c>
      <c r="O159" s="36">
        <v>0</v>
      </c>
      <c r="P159" s="36">
        <v>0.201402</v>
      </c>
      <c r="Q159" s="36">
        <f t="shared" si="63"/>
        <v>0</v>
      </c>
      <c r="R159" s="36">
        <f t="shared" si="64"/>
        <v>0.201402</v>
      </c>
      <c r="S159" s="36">
        <f>IF(C159&lt;&gt;"Offshore",0,IFERROR(VLOOKUP(D159,'Local Tariffs'!$A$4:$B$98,2,0),VLOOKUP(A159,'Local Tariffs'!$A$4:$B$98,2,0)))</f>
        <v>0</v>
      </c>
      <c r="T159" s="36">
        <f>IF(C159&lt;&gt;"Offshore",0,VLOOKUP(I159,'Local Tariffs'!$E$4:$F$38,2,0))</f>
        <v>0</v>
      </c>
      <c r="U159" s="53">
        <f t="shared" si="65"/>
        <v>171191.7</v>
      </c>
      <c r="V159" s="53">
        <f t="shared" si="66"/>
        <v>0</v>
      </c>
      <c r="W159" s="36">
        <v>-2.7893560000000002</v>
      </c>
      <c r="X159" s="37">
        <v>-2370952.6</v>
      </c>
      <c r="Y159" s="37">
        <v>0.25999999931082129</v>
      </c>
      <c r="Z159" s="38">
        <v>-2.990758</v>
      </c>
      <c r="AA159" s="39">
        <v>-2542144.2999999998</v>
      </c>
      <c r="AB159" s="40">
        <v>0</v>
      </c>
      <c r="AC159" s="41">
        <v>0</v>
      </c>
      <c r="AD159" s="41">
        <v>2542144.2999999998</v>
      </c>
      <c r="AE159" s="58">
        <f t="shared" si="67"/>
        <v>-2.990758</v>
      </c>
      <c r="AF159" s="58">
        <f t="shared" si="68"/>
        <v>0</v>
      </c>
      <c r="AG159" s="58">
        <f t="shared" si="69"/>
        <v>0</v>
      </c>
      <c r="AH159" s="41">
        <f t="shared" si="70"/>
        <v>2542144.2999999998</v>
      </c>
      <c r="AI159" s="41">
        <f t="shared" si="71"/>
        <v>0</v>
      </c>
      <c r="AJ159" s="41">
        <f t="shared" si="72"/>
        <v>0</v>
      </c>
      <c r="AK159" s="42">
        <v>78449.73</v>
      </c>
      <c r="AL159" s="41">
        <v>2620594.2899999991</v>
      </c>
      <c r="AM159" s="41">
        <v>-2370952.8599999994</v>
      </c>
      <c r="AN159" s="64">
        <f t="shared" si="73"/>
        <v>249641.4299999997</v>
      </c>
      <c r="AO159" s="73">
        <f t="shared" si="74"/>
        <v>2542144.2999999998</v>
      </c>
      <c r="AP159" s="73">
        <f t="shared" si="75"/>
        <v>0</v>
      </c>
    </row>
    <row r="160" spans="2:42" x14ac:dyDescent="0.25">
      <c r="B160" s="44" t="s">
        <v>522</v>
      </c>
      <c r="C160" s="45" t="s">
        <v>2</v>
      </c>
      <c r="D160" s="45" t="s">
        <v>324</v>
      </c>
      <c r="E160" s="45">
        <v>23</v>
      </c>
      <c r="F160" s="45" t="s">
        <v>372</v>
      </c>
      <c r="G160" s="33">
        <v>3.6289999999999998E-3</v>
      </c>
      <c r="H160" s="34">
        <v>144</v>
      </c>
      <c r="I160" s="35" t="s">
        <v>364</v>
      </c>
      <c r="J160" s="36">
        <v>-4.849145</v>
      </c>
      <c r="K160" s="36">
        <v>-10.636697606375</v>
      </c>
      <c r="L160" s="53">
        <f t="shared" si="60"/>
        <v>-698276.88</v>
      </c>
      <c r="M160" s="53">
        <f t="shared" si="61"/>
        <v>-833407.57531800005</v>
      </c>
      <c r="N160" s="53">
        <f t="shared" si="62"/>
        <v>-1531684.4553180002</v>
      </c>
      <c r="O160" s="36">
        <v>0</v>
      </c>
      <c r="P160" s="36">
        <v>0</v>
      </c>
      <c r="Q160" s="36">
        <f t="shared" si="63"/>
        <v>0</v>
      </c>
      <c r="R160" s="36">
        <f t="shared" si="64"/>
        <v>0</v>
      </c>
      <c r="S160" s="36">
        <f>IF(C160&lt;&gt;"Offshore",0,IFERROR(VLOOKUP(D160,'Local Tariffs'!$A$4:$B$98,2,0),VLOOKUP(A160,'Local Tariffs'!$A$4:$B$98,2,0)))</f>
        <v>0</v>
      </c>
      <c r="T160" s="36">
        <f>IF(C160&lt;&gt;"Offshore",0,VLOOKUP(I160,'Local Tariffs'!$E$4:$F$38,2,0))</f>
        <v>0</v>
      </c>
      <c r="U160" s="53">
        <f t="shared" si="65"/>
        <v>0</v>
      </c>
      <c r="V160" s="53">
        <f t="shared" si="66"/>
        <v>0</v>
      </c>
      <c r="W160" s="36">
        <v>-10.636697606375</v>
      </c>
      <c r="X160" s="37">
        <v>-1531684.46</v>
      </c>
      <c r="Y160" s="37">
        <v>-5.9999999823048711E-2</v>
      </c>
      <c r="Z160" s="38">
        <v>-10.636697606375</v>
      </c>
      <c r="AA160" s="39">
        <v>-1531684.46</v>
      </c>
      <c r="AB160" s="40">
        <v>136.79466666666667</v>
      </c>
      <c r="AC160" s="41">
        <v>-1455043.5</v>
      </c>
      <c r="AD160" s="41">
        <v>76640.959999999963</v>
      </c>
      <c r="AE160" s="58">
        <f t="shared" si="67"/>
        <v>-10.636697606375</v>
      </c>
      <c r="AF160" s="58">
        <f t="shared" si="68"/>
        <v>0</v>
      </c>
      <c r="AG160" s="58">
        <f t="shared" si="69"/>
        <v>0</v>
      </c>
      <c r="AH160" s="41">
        <f t="shared" si="70"/>
        <v>76640.951819800626</v>
      </c>
      <c r="AI160" s="41">
        <f t="shared" si="71"/>
        <v>0</v>
      </c>
      <c r="AJ160" s="41">
        <f t="shared" si="72"/>
        <v>0</v>
      </c>
      <c r="AK160" s="42">
        <v>0</v>
      </c>
      <c r="AL160" s="41">
        <v>76640.90000000014</v>
      </c>
      <c r="AM160" s="41">
        <v>-1531684.4000000001</v>
      </c>
      <c r="AN160" s="64">
        <f t="shared" si="73"/>
        <v>-1455043.5</v>
      </c>
      <c r="AO160" s="73">
        <f t="shared" si="74"/>
        <v>34939.706106666643</v>
      </c>
      <c r="AP160" s="73">
        <f t="shared" si="75"/>
        <v>41701.245713133969</v>
      </c>
    </row>
    <row r="161" spans="2:42" x14ac:dyDescent="0.25">
      <c r="B161" s="44" t="s">
        <v>523</v>
      </c>
      <c r="C161" s="45" t="s">
        <v>323</v>
      </c>
      <c r="D161" s="45" t="s">
        <v>324</v>
      </c>
      <c r="E161" s="45">
        <v>13</v>
      </c>
      <c r="F161" s="45" t="s">
        <v>451</v>
      </c>
      <c r="G161" s="33">
        <v>0.39838699999999999</v>
      </c>
      <c r="H161" s="34">
        <v>285</v>
      </c>
      <c r="I161" s="35" t="s">
        <v>326</v>
      </c>
      <c r="J161" s="36">
        <v>-4.849145</v>
      </c>
      <c r="K161" s="36">
        <v>3.0918466587839992</v>
      </c>
      <c r="L161" s="53">
        <f t="shared" si="60"/>
        <v>-1382006.325</v>
      </c>
      <c r="M161" s="53">
        <f t="shared" si="61"/>
        <v>2263182.6227534399</v>
      </c>
      <c r="N161" s="53">
        <f t="shared" si="62"/>
        <v>881176.29775343998</v>
      </c>
      <c r="O161" s="36">
        <v>0</v>
      </c>
      <c r="P161" s="36">
        <v>0.27692499999999998</v>
      </c>
      <c r="Q161" s="36">
        <f t="shared" si="63"/>
        <v>0</v>
      </c>
      <c r="R161" s="36">
        <f t="shared" si="64"/>
        <v>0.27692499999999998</v>
      </c>
      <c r="S161" s="36">
        <f>IF(C161&lt;&gt;"Offshore",0,IFERROR(VLOOKUP(D161,'Local Tariffs'!$A$4:$B$98,2,0),VLOOKUP(A161,'Local Tariffs'!$A$4:$B$98,2,0)))</f>
        <v>0</v>
      </c>
      <c r="T161" s="36">
        <f>IF(C161&lt;&gt;"Offshore",0,VLOOKUP(I161,'Local Tariffs'!$E$4:$F$38,2,0))</f>
        <v>0</v>
      </c>
      <c r="U161" s="53">
        <f t="shared" si="65"/>
        <v>78923.624999999985</v>
      </c>
      <c r="V161" s="53">
        <f t="shared" si="66"/>
        <v>0</v>
      </c>
      <c r="W161" s="36">
        <v>3.3687716587839991</v>
      </c>
      <c r="X161" s="37">
        <v>960099.92</v>
      </c>
      <c r="Y161" s="37">
        <v>-0.12999999965541065</v>
      </c>
      <c r="Z161" s="38">
        <v>0</v>
      </c>
      <c r="AA161" s="39">
        <v>0</v>
      </c>
      <c r="AB161" s="40">
        <v>0</v>
      </c>
      <c r="AC161" s="41">
        <v>0</v>
      </c>
      <c r="AD161" s="41">
        <v>0</v>
      </c>
      <c r="AE161" s="58">
        <f t="shared" si="67"/>
        <v>0</v>
      </c>
      <c r="AF161" s="58">
        <f t="shared" si="68"/>
        <v>0</v>
      </c>
      <c r="AG161" s="58">
        <f t="shared" si="69"/>
        <v>0</v>
      </c>
      <c r="AH161" s="41">
        <f t="shared" si="70"/>
        <v>0</v>
      </c>
      <c r="AI161" s="41">
        <f t="shared" si="71"/>
        <v>0</v>
      </c>
      <c r="AJ161" s="41">
        <f t="shared" si="72"/>
        <v>0</v>
      </c>
      <c r="AK161" s="42">
        <v>72039.600000000006</v>
      </c>
      <c r="AL161" s="41">
        <v>72039.47000000035</v>
      </c>
      <c r="AM161" s="41">
        <v>960100.0499999997</v>
      </c>
      <c r="AN161" s="64">
        <f t="shared" si="73"/>
        <v>1032139.52</v>
      </c>
      <c r="AO161" s="73">
        <f t="shared" si="74"/>
        <v>0</v>
      </c>
      <c r="AP161" s="73">
        <f t="shared" si="75"/>
        <v>0</v>
      </c>
    </row>
    <row r="162" spans="2:42" x14ac:dyDescent="0.25">
      <c r="B162" s="44" t="s">
        <v>524</v>
      </c>
      <c r="C162" s="45" t="s">
        <v>318</v>
      </c>
      <c r="D162" s="45" t="s">
        <v>524</v>
      </c>
      <c r="E162" s="45">
        <v>24</v>
      </c>
      <c r="F162" s="45" t="s">
        <v>320</v>
      </c>
      <c r="G162" s="33">
        <v>0.36645899999999998</v>
      </c>
      <c r="H162" s="34">
        <v>300</v>
      </c>
      <c r="I162" s="35" t="s">
        <v>525</v>
      </c>
      <c r="J162" s="36">
        <v>-4.849145</v>
      </c>
      <c r="K162" s="36">
        <v>-3.785479</v>
      </c>
      <c r="L162" s="53">
        <f t="shared" si="60"/>
        <v>-1454743.5</v>
      </c>
      <c r="M162" s="53">
        <f t="shared" si="61"/>
        <v>319099.8</v>
      </c>
      <c r="N162" s="53">
        <f t="shared" si="62"/>
        <v>-1135643.7</v>
      </c>
      <c r="O162" s="36">
        <v>34.613652999999999</v>
      </c>
      <c r="P162" s="36">
        <v>18.575959999999998</v>
      </c>
      <c r="Q162" s="36">
        <f t="shared" si="63"/>
        <v>0</v>
      </c>
      <c r="R162" s="36">
        <f t="shared" si="64"/>
        <v>0</v>
      </c>
      <c r="S162" s="36">
        <f>IF(C162&lt;&gt;"Offshore",0,IFERROR(VLOOKUP(D162,'Local Tariffs'!$A$4:$B$98,2,0),VLOOKUP(A162,'Local Tariffs'!$A$4:$B$98,2,0)))</f>
        <v>34.613652999999999</v>
      </c>
      <c r="T162" s="36">
        <f>IF(C162&lt;&gt;"Offshore",0,VLOOKUP(I162,'Local Tariffs'!$E$4:$F$38,2,0))</f>
        <v>18.575959999999998</v>
      </c>
      <c r="U162" s="53">
        <f t="shared" si="65"/>
        <v>0</v>
      </c>
      <c r="V162" s="53">
        <f t="shared" si="66"/>
        <v>15956883.899999999</v>
      </c>
      <c r="W162" s="36">
        <v>49.404133999999999</v>
      </c>
      <c r="X162" s="37">
        <v>14821240.199999999</v>
      </c>
      <c r="Y162" s="37">
        <v>2.0000001415610313E-2</v>
      </c>
      <c r="Z162" s="38">
        <v>-3.785479</v>
      </c>
      <c r="AA162" s="39">
        <v>-1135643.7</v>
      </c>
      <c r="AB162" s="40">
        <v>293.1033333333333</v>
      </c>
      <c r="AC162" s="41">
        <v>-1109536.51</v>
      </c>
      <c r="AD162" s="41">
        <v>26107.189999999944</v>
      </c>
      <c r="AE162" s="58">
        <f t="shared" si="67"/>
        <v>-3.785479</v>
      </c>
      <c r="AF162" s="58">
        <f t="shared" si="68"/>
        <v>0</v>
      </c>
      <c r="AG162" s="58">
        <f t="shared" si="69"/>
        <v>0</v>
      </c>
      <c r="AH162" s="41">
        <f t="shared" si="70"/>
        <v>26107.18683666681</v>
      </c>
      <c r="AI162" s="41">
        <f t="shared" si="71"/>
        <v>0</v>
      </c>
      <c r="AJ162" s="41">
        <f t="shared" si="72"/>
        <v>0</v>
      </c>
      <c r="AK162" s="42">
        <v>31339.69</v>
      </c>
      <c r="AL162" s="41">
        <v>57446.900000001362</v>
      </c>
      <c r="AM162" s="41">
        <v>14821240.179999998</v>
      </c>
      <c r="AN162" s="64">
        <f t="shared" si="73"/>
        <v>14878687.08</v>
      </c>
      <c r="AO162" s="73">
        <f t="shared" si="74"/>
        <v>26107.18683666681</v>
      </c>
      <c r="AP162" s="73">
        <f t="shared" si="75"/>
        <v>0</v>
      </c>
    </row>
    <row r="163" spans="2:42" x14ac:dyDescent="0.25">
      <c r="B163" s="44" t="s">
        <v>526</v>
      </c>
      <c r="C163" s="45" t="s">
        <v>323</v>
      </c>
      <c r="D163" s="45" t="s">
        <v>396</v>
      </c>
      <c r="E163" s="45">
        <v>11</v>
      </c>
      <c r="F163" s="45" t="s">
        <v>328</v>
      </c>
      <c r="G163" s="33">
        <v>0.34503200000000001</v>
      </c>
      <c r="H163" s="34">
        <v>27.6</v>
      </c>
      <c r="I163" s="35" t="s">
        <v>321</v>
      </c>
      <c r="J163" s="36">
        <v>-4.849145</v>
      </c>
      <c r="K163" s="36">
        <v>-6.1951339999999995</v>
      </c>
      <c r="L163" s="53">
        <f t="shared" si="60"/>
        <v>-133836.40200000003</v>
      </c>
      <c r="M163" s="53">
        <f t="shared" si="61"/>
        <v>-37149.296399999985</v>
      </c>
      <c r="N163" s="53">
        <f t="shared" si="62"/>
        <v>-170985.69840000002</v>
      </c>
      <c r="O163" s="36">
        <v>1.526206</v>
      </c>
      <c r="P163" s="36">
        <v>0.203179</v>
      </c>
      <c r="Q163" s="36">
        <f t="shared" si="63"/>
        <v>1.526206</v>
      </c>
      <c r="R163" s="36">
        <f t="shared" si="64"/>
        <v>0.203179</v>
      </c>
      <c r="S163" s="36">
        <f>IF(C163&lt;&gt;"Offshore",0,IFERROR(VLOOKUP(D163,'Local Tariffs'!$A$4:$B$98,2,0),VLOOKUP(A163,'Local Tariffs'!$A$4:$B$98,2,0)))</f>
        <v>0</v>
      </c>
      <c r="T163" s="36">
        <f>IF(C163&lt;&gt;"Offshore",0,VLOOKUP(I163,'Local Tariffs'!$E$4:$F$38,2,0))</f>
        <v>0</v>
      </c>
      <c r="U163" s="53">
        <f t="shared" si="65"/>
        <v>47731.025999999998</v>
      </c>
      <c r="V163" s="53">
        <f t="shared" si="66"/>
        <v>0</v>
      </c>
      <c r="W163" s="36">
        <v>-4.4657489999999989</v>
      </c>
      <c r="X163" s="37">
        <v>-123254.67</v>
      </c>
      <c r="Y163" s="37">
        <v>9.9999999947613105E-3</v>
      </c>
      <c r="Z163" s="38">
        <v>-6.1951339999999995</v>
      </c>
      <c r="AA163" s="39">
        <v>-170985.7</v>
      </c>
      <c r="AB163" s="40">
        <v>27.526666666666667</v>
      </c>
      <c r="AC163" s="41">
        <v>-170531.39</v>
      </c>
      <c r="AD163" s="41">
        <v>454.30999999999767</v>
      </c>
      <c r="AE163" s="58">
        <f t="shared" si="67"/>
        <v>-6.1951339999999995</v>
      </c>
      <c r="AF163" s="58">
        <f t="shared" si="68"/>
        <v>0</v>
      </c>
      <c r="AG163" s="58">
        <f t="shared" si="69"/>
        <v>0</v>
      </c>
      <c r="AH163" s="41">
        <f t="shared" si="70"/>
        <v>454.30982666667165</v>
      </c>
      <c r="AI163" s="41">
        <f t="shared" si="71"/>
        <v>0</v>
      </c>
      <c r="AJ163" s="41">
        <f t="shared" si="72"/>
        <v>0</v>
      </c>
      <c r="AK163" s="42">
        <v>0</v>
      </c>
      <c r="AL163" s="41">
        <v>454.31999999999243</v>
      </c>
      <c r="AM163" s="41">
        <v>-123254.68</v>
      </c>
      <c r="AN163" s="64">
        <f t="shared" si="73"/>
        <v>-122800.36</v>
      </c>
      <c r="AO163" s="73">
        <f t="shared" si="74"/>
        <v>355.6039666666706</v>
      </c>
      <c r="AP163" s="73">
        <f t="shared" si="75"/>
        <v>98.705860000001053</v>
      </c>
    </row>
    <row r="164" spans="2:42" x14ac:dyDescent="0.25">
      <c r="B164" s="44" t="s">
        <v>527</v>
      </c>
      <c r="C164" s="45" t="s">
        <v>323</v>
      </c>
      <c r="D164" s="45" t="s">
        <v>324</v>
      </c>
      <c r="E164" s="45">
        <v>11</v>
      </c>
      <c r="F164" s="45" t="s">
        <v>395</v>
      </c>
      <c r="G164" s="33">
        <v>0.87902800000000003</v>
      </c>
      <c r="H164" s="34">
        <v>1250</v>
      </c>
      <c r="I164" s="35" t="s">
        <v>356</v>
      </c>
      <c r="J164" s="36">
        <v>-4.849145</v>
      </c>
      <c r="K164" s="36">
        <v>15.792848999999997</v>
      </c>
      <c r="L164" s="53">
        <f t="shared" si="60"/>
        <v>-6061431.25</v>
      </c>
      <c r="M164" s="53">
        <f t="shared" si="61"/>
        <v>25802492.499999996</v>
      </c>
      <c r="N164" s="53">
        <f t="shared" si="62"/>
        <v>19741061.249999996</v>
      </c>
      <c r="O164" s="36">
        <v>0</v>
      </c>
      <c r="P164" s="36">
        <v>0.201402</v>
      </c>
      <c r="Q164" s="36">
        <f t="shared" si="63"/>
        <v>0</v>
      </c>
      <c r="R164" s="36">
        <f t="shared" si="64"/>
        <v>0.201402</v>
      </c>
      <c r="S164" s="36">
        <f>IF(C164&lt;&gt;"Offshore",0,IFERROR(VLOOKUP(D164,'Local Tariffs'!$A$4:$B$98,2,0),VLOOKUP(A164,'Local Tariffs'!$A$4:$B$98,2,0)))</f>
        <v>0</v>
      </c>
      <c r="T164" s="36">
        <f>IF(C164&lt;&gt;"Offshore",0,VLOOKUP(I164,'Local Tariffs'!$E$4:$F$38,2,0))</f>
        <v>0</v>
      </c>
      <c r="U164" s="53">
        <f t="shared" si="65"/>
        <v>251752.5</v>
      </c>
      <c r="V164" s="53">
        <f t="shared" si="66"/>
        <v>0</v>
      </c>
      <c r="W164" s="36">
        <v>15.994250999999997</v>
      </c>
      <c r="X164" s="37">
        <v>19992813.75</v>
      </c>
      <c r="Y164" s="37">
        <v>0</v>
      </c>
      <c r="Z164" s="38">
        <v>0</v>
      </c>
      <c r="AA164" s="39">
        <v>0</v>
      </c>
      <c r="AB164" s="40">
        <v>0</v>
      </c>
      <c r="AC164" s="41">
        <v>0</v>
      </c>
      <c r="AD164" s="41">
        <v>0</v>
      </c>
      <c r="AE164" s="58">
        <f t="shared" si="67"/>
        <v>0</v>
      </c>
      <c r="AF164" s="58">
        <f t="shared" si="68"/>
        <v>0</v>
      </c>
      <c r="AG164" s="58">
        <f t="shared" si="69"/>
        <v>0</v>
      </c>
      <c r="AH164" s="41">
        <f t="shared" si="70"/>
        <v>0</v>
      </c>
      <c r="AI164" s="41">
        <f t="shared" si="71"/>
        <v>0</v>
      </c>
      <c r="AJ164" s="41">
        <f t="shared" si="72"/>
        <v>0</v>
      </c>
      <c r="AK164" s="42">
        <v>0</v>
      </c>
      <c r="AL164" s="41">
        <v>0</v>
      </c>
      <c r="AM164" s="41">
        <v>19992813.75</v>
      </c>
      <c r="AN164" s="64">
        <f t="shared" si="73"/>
        <v>19992813.75</v>
      </c>
      <c r="AO164" s="73">
        <f t="shared" si="74"/>
        <v>0</v>
      </c>
      <c r="AP164" s="73">
        <f t="shared" si="75"/>
        <v>0</v>
      </c>
    </row>
    <row r="165" spans="2:42" x14ac:dyDescent="0.25">
      <c r="B165" s="44" t="s">
        <v>528</v>
      </c>
      <c r="C165" s="45" t="s">
        <v>323</v>
      </c>
      <c r="D165" s="45" t="s">
        <v>474</v>
      </c>
      <c r="E165" s="45">
        <v>10</v>
      </c>
      <c r="F165" s="45" t="s">
        <v>328</v>
      </c>
      <c r="G165" s="33">
        <v>0.35665999999999998</v>
      </c>
      <c r="H165" s="34">
        <v>20</v>
      </c>
      <c r="I165" s="35" t="s">
        <v>359</v>
      </c>
      <c r="J165" s="36">
        <v>-4.849145</v>
      </c>
      <c r="K165" s="36">
        <v>11.084541999999999</v>
      </c>
      <c r="L165" s="53">
        <f t="shared" si="60"/>
        <v>-96982.9</v>
      </c>
      <c r="M165" s="53">
        <f t="shared" si="61"/>
        <v>318673.73999999993</v>
      </c>
      <c r="N165" s="53">
        <f t="shared" si="62"/>
        <v>221690.83999999994</v>
      </c>
      <c r="O165" s="36">
        <v>0.88605599999999995</v>
      </c>
      <c r="P165" s="36">
        <v>0.116232</v>
      </c>
      <c r="Q165" s="36">
        <f t="shared" si="63"/>
        <v>0.88605599999999995</v>
      </c>
      <c r="R165" s="36">
        <f t="shared" si="64"/>
        <v>0.116232</v>
      </c>
      <c r="S165" s="36">
        <f>IF(C165&lt;&gt;"Offshore",0,IFERROR(VLOOKUP(D165,'Local Tariffs'!$A$4:$B$98,2,0),VLOOKUP(A165,'Local Tariffs'!$A$4:$B$98,2,0)))</f>
        <v>0</v>
      </c>
      <c r="T165" s="36">
        <f>IF(C165&lt;&gt;"Offshore",0,VLOOKUP(I165,'Local Tariffs'!$E$4:$F$38,2,0))</f>
        <v>0</v>
      </c>
      <c r="U165" s="53">
        <f t="shared" si="65"/>
        <v>20045.760000000002</v>
      </c>
      <c r="V165" s="53">
        <f t="shared" si="66"/>
        <v>0</v>
      </c>
      <c r="W165" s="36">
        <v>12.086829999999999</v>
      </c>
      <c r="X165" s="37">
        <v>241736.6</v>
      </c>
      <c r="Y165" s="37">
        <v>0</v>
      </c>
      <c r="Z165" s="38">
        <v>0</v>
      </c>
      <c r="AA165" s="39">
        <v>0</v>
      </c>
      <c r="AB165" s="40">
        <v>0</v>
      </c>
      <c r="AC165" s="41">
        <v>0</v>
      </c>
      <c r="AD165" s="41">
        <v>0</v>
      </c>
      <c r="AE165" s="58">
        <f t="shared" si="67"/>
        <v>0</v>
      </c>
      <c r="AF165" s="58">
        <f t="shared" si="68"/>
        <v>0</v>
      </c>
      <c r="AG165" s="58">
        <f t="shared" si="69"/>
        <v>0</v>
      </c>
      <c r="AH165" s="41">
        <f t="shared" si="70"/>
        <v>0</v>
      </c>
      <c r="AI165" s="41">
        <f t="shared" si="71"/>
        <v>0</v>
      </c>
      <c r="AJ165" s="41">
        <f t="shared" si="72"/>
        <v>0</v>
      </c>
      <c r="AK165" s="42">
        <v>0</v>
      </c>
      <c r="AL165" s="41">
        <v>0</v>
      </c>
      <c r="AM165" s="41">
        <v>241736.6</v>
      </c>
      <c r="AN165" s="64">
        <f t="shared" si="73"/>
        <v>241736.6</v>
      </c>
      <c r="AO165" s="73">
        <f t="shared" si="74"/>
        <v>0</v>
      </c>
      <c r="AP165" s="73">
        <f t="shared" si="75"/>
        <v>0</v>
      </c>
    </row>
    <row r="166" spans="2:42" x14ac:dyDescent="0.25">
      <c r="B166" s="44" t="s">
        <v>529</v>
      </c>
      <c r="C166" s="45" t="s">
        <v>318</v>
      </c>
      <c r="D166" s="32" t="s">
        <v>324</v>
      </c>
      <c r="E166" s="45">
        <v>17</v>
      </c>
      <c r="F166" s="45" t="s">
        <v>320</v>
      </c>
      <c r="G166" s="33">
        <v>0.48320400000000002</v>
      </c>
      <c r="H166" s="34">
        <v>360</v>
      </c>
      <c r="I166" s="35" t="s">
        <v>530</v>
      </c>
      <c r="J166" s="36">
        <v>-4.849145</v>
      </c>
      <c r="K166" s="36">
        <v>-4.668939</v>
      </c>
      <c r="L166" s="53">
        <f t="shared" si="60"/>
        <v>-1745692.2</v>
      </c>
      <c r="M166" s="53">
        <f t="shared" si="61"/>
        <v>64874.160000000033</v>
      </c>
      <c r="N166" s="53">
        <f t="shared" si="62"/>
        <v>-1680818.04</v>
      </c>
      <c r="O166" s="36">
        <v>0</v>
      </c>
      <c r="P166" s="36">
        <v>0</v>
      </c>
      <c r="Q166" s="36">
        <f t="shared" si="63"/>
        <v>0</v>
      </c>
      <c r="R166" s="36">
        <f t="shared" si="64"/>
        <v>0</v>
      </c>
      <c r="S166" s="46">
        <v>0</v>
      </c>
      <c r="T166" s="46">
        <v>0</v>
      </c>
      <c r="U166" s="53">
        <f t="shared" si="65"/>
        <v>0</v>
      </c>
      <c r="V166" s="53">
        <f t="shared" si="66"/>
        <v>0</v>
      </c>
      <c r="W166" s="36">
        <v>-4.668939</v>
      </c>
      <c r="X166" s="37">
        <v>-1680818.04</v>
      </c>
      <c r="Y166" s="37">
        <v>-4.0000000037252903E-2</v>
      </c>
      <c r="Z166" s="38">
        <v>-4.668939</v>
      </c>
      <c r="AA166" s="39">
        <v>-1680818.04</v>
      </c>
      <c r="AB166" s="40">
        <v>3.9333333333333331E-2</v>
      </c>
      <c r="AC166" s="41">
        <v>-183.64</v>
      </c>
      <c r="AD166" s="41">
        <v>1680634.4000000001</v>
      </c>
      <c r="AE166" s="58">
        <f t="shared" si="67"/>
        <v>-4.668939</v>
      </c>
      <c r="AF166" s="58">
        <f t="shared" si="68"/>
        <v>0</v>
      </c>
      <c r="AG166" s="58">
        <f t="shared" si="69"/>
        <v>0</v>
      </c>
      <c r="AH166" s="41">
        <f t="shared" si="70"/>
        <v>1680634.3950660001</v>
      </c>
      <c r="AI166" s="41">
        <f t="shared" si="71"/>
        <v>0</v>
      </c>
      <c r="AJ166" s="41">
        <f t="shared" si="72"/>
        <v>0</v>
      </c>
      <c r="AK166" s="42">
        <v>924.98</v>
      </c>
      <c r="AL166" s="41">
        <v>1681559.34</v>
      </c>
      <c r="AM166" s="41">
        <v>-1680818</v>
      </c>
      <c r="AN166" s="64">
        <f t="shared" si="73"/>
        <v>741.34000000008382</v>
      </c>
      <c r="AO166" s="73">
        <f t="shared" si="74"/>
        <v>1680634.3950660001</v>
      </c>
      <c r="AP166" s="73">
        <f t="shared" si="75"/>
        <v>0</v>
      </c>
    </row>
    <row r="167" spans="2:42" x14ac:dyDescent="0.25">
      <c r="B167" s="44" t="s">
        <v>531</v>
      </c>
      <c r="C167" s="45" t="s">
        <v>323</v>
      </c>
      <c r="D167" s="45" t="s">
        <v>324</v>
      </c>
      <c r="E167" s="45">
        <v>21</v>
      </c>
      <c r="F167" s="45" t="s">
        <v>325</v>
      </c>
      <c r="G167" s="33">
        <v>0.16649600000000001</v>
      </c>
      <c r="H167" s="34">
        <v>230</v>
      </c>
      <c r="I167" s="35" t="s">
        <v>326</v>
      </c>
      <c r="J167" s="36">
        <v>-4.849145</v>
      </c>
      <c r="K167" s="36">
        <v>0.17280500000000032</v>
      </c>
      <c r="L167" s="53">
        <f t="shared" si="60"/>
        <v>-1115303.3499999999</v>
      </c>
      <c r="M167" s="53">
        <f t="shared" si="61"/>
        <v>1155048.5</v>
      </c>
      <c r="N167" s="53">
        <f t="shared" si="62"/>
        <v>39745.15000000014</v>
      </c>
      <c r="O167" s="36">
        <v>0</v>
      </c>
      <c r="P167" s="36">
        <v>0.27692499999999998</v>
      </c>
      <c r="Q167" s="36">
        <f t="shared" si="63"/>
        <v>0</v>
      </c>
      <c r="R167" s="36">
        <f t="shared" si="64"/>
        <v>0.27692499999999998</v>
      </c>
      <c r="S167" s="36">
        <f>IF(C167&lt;&gt;"Offshore",0,IFERROR(VLOOKUP(D167,'Local Tariffs'!$A$4:$B$98,2,0),VLOOKUP(A167,'Local Tariffs'!$A$4:$B$98,2,0)))</f>
        <v>0</v>
      </c>
      <c r="T167" s="36">
        <f>IF(C167&lt;&gt;"Offshore",0,VLOOKUP(I167,'Local Tariffs'!$E$4:$F$38,2,0))</f>
        <v>0</v>
      </c>
      <c r="U167" s="53">
        <f t="shared" si="65"/>
        <v>63692.75</v>
      </c>
      <c r="V167" s="53">
        <f t="shared" si="66"/>
        <v>0</v>
      </c>
      <c r="W167" s="36">
        <v>0.4497300000000003</v>
      </c>
      <c r="X167" s="37">
        <v>103437.9</v>
      </c>
      <c r="Y167" s="37">
        <v>7.9999999987194315E-2</v>
      </c>
      <c r="Z167" s="38">
        <v>0</v>
      </c>
      <c r="AA167" s="39">
        <v>0</v>
      </c>
      <c r="AB167" s="40">
        <v>0</v>
      </c>
      <c r="AC167" s="41">
        <v>0</v>
      </c>
      <c r="AD167" s="41">
        <v>0</v>
      </c>
      <c r="AE167" s="58">
        <f t="shared" si="67"/>
        <v>0</v>
      </c>
      <c r="AF167" s="58">
        <f t="shared" si="68"/>
        <v>0</v>
      </c>
      <c r="AG167" s="58">
        <f t="shared" si="69"/>
        <v>0</v>
      </c>
      <c r="AH167" s="41">
        <f t="shared" si="70"/>
        <v>0</v>
      </c>
      <c r="AI167" s="41">
        <f t="shared" si="71"/>
        <v>0</v>
      </c>
      <c r="AJ167" s="41">
        <f t="shared" si="72"/>
        <v>0</v>
      </c>
      <c r="AK167" s="42">
        <v>13834.44</v>
      </c>
      <c r="AL167" s="41">
        <v>13834.519999999988</v>
      </c>
      <c r="AM167" s="41">
        <v>103437.82</v>
      </c>
      <c r="AN167" s="64">
        <f t="shared" si="73"/>
        <v>117272.34</v>
      </c>
      <c r="AO167" s="73">
        <f t="shared" si="74"/>
        <v>0</v>
      </c>
      <c r="AP167" s="73">
        <f t="shared" si="75"/>
        <v>0</v>
      </c>
    </row>
    <row r="168" spans="2:42" x14ac:dyDescent="0.25">
      <c r="B168" s="44" t="s">
        <v>532</v>
      </c>
      <c r="C168" s="45" t="s">
        <v>318</v>
      </c>
      <c r="D168" s="32" t="s">
        <v>532</v>
      </c>
      <c r="E168" s="45">
        <v>14</v>
      </c>
      <c r="F168" s="45" t="s">
        <v>320</v>
      </c>
      <c r="G168" s="33">
        <v>0.47952499999999998</v>
      </c>
      <c r="H168" s="34">
        <v>330</v>
      </c>
      <c r="I168" s="35" t="s">
        <v>533</v>
      </c>
      <c r="J168" s="36">
        <v>-4.849145</v>
      </c>
      <c r="K168" s="36">
        <v>-1.1678380000000002</v>
      </c>
      <c r="L168" s="53">
        <f t="shared" si="60"/>
        <v>-1600217.85</v>
      </c>
      <c r="M168" s="53">
        <f t="shared" si="61"/>
        <v>1214831.31</v>
      </c>
      <c r="N168" s="53">
        <f t="shared" si="62"/>
        <v>-385386.54000000004</v>
      </c>
      <c r="O168" s="36">
        <v>18.209206999999999</v>
      </c>
      <c r="P168" s="36">
        <v>8.9745410000000003</v>
      </c>
      <c r="Q168" s="36">
        <f t="shared" si="63"/>
        <v>0.1502750000000006</v>
      </c>
      <c r="R168" s="36">
        <f t="shared" si="64"/>
        <v>0</v>
      </c>
      <c r="S168" s="36">
        <f>IF(C168&lt;&gt;"Offshore",0,IFERROR(VLOOKUP(D168,'Local Tariffs'!$A$4:$B$98,2,0),VLOOKUP(A168,'Local Tariffs'!$A$4:$B$98,2,0)))</f>
        <v>18.058931999999999</v>
      </c>
      <c r="T168" s="36">
        <f>IF(C168&lt;&gt;"Offshore",0,VLOOKUP(I168,'Local Tariffs'!$E$4:$F$38,2,0))</f>
        <v>8.9745410000000003</v>
      </c>
      <c r="U168" s="53">
        <f t="shared" si="65"/>
        <v>49590.750000000196</v>
      </c>
      <c r="V168" s="53">
        <f t="shared" si="66"/>
        <v>8921046.0899999999</v>
      </c>
      <c r="W168" s="36">
        <v>26.015909999999998</v>
      </c>
      <c r="X168" s="37">
        <v>8585250.3000000007</v>
      </c>
      <c r="Y168" s="37">
        <v>8.0000001937150955E-2</v>
      </c>
      <c r="Z168" s="38">
        <v>-1.1678380000000002</v>
      </c>
      <c r="AA168" s="39">
        <v>-385386.54</v>
      </c>
      <c r="AB168" s="40">
        <v>330</v>
      </c>
      <c r="AC168" s="41">
        <v>-385386.54</v>
      </c>
      <c r="AD168" s="41">
        <v>0</v>
      </c>
      <c r="AE168" s="58">
        <f t="shared" si="67"/>
        <v>-1.1678380000000002</v>
      </c>
      <c r="AF168" s="58">
        <f t="shared" si="68"/>
        <v>0</v>
      </c>
      <c r="AG168" s="58">
        <f t="shared" si="69"/>
        <v>0</v>
      </c>
      <c r="AH168" s="41">
        <f t="shared" si="70"/>
        <v>0</v>
      </c>
      <c r="AI168" s="41">
        <f t="shared" si="71"/>
        <v>0</v>
      </c>
      <c r="AJ168" s="41">
        <f t="shared" si="72"/>
        <v>0</v>
      </c>
      <c r="AK168" s="42">
        <v>0</v>
      </c>
      <c r="AL168" s="41">
        <v>8.0000001937150955E-2</v>
      </c>
      <c r="AM168" s="41">
        <v>8585250.2199999988</v>
      </c>
      <c r="AN168" s="64">
        <f t="shared" si="73"/>
        <v>8585250.3000000007</v>
      </c>
      <c r="AO168" s="73">
        <f t="shared" si="74"/>
        <v>0</v>
      </c>
      <c r="AP168" s="73">
        <f t="shared" si="75"/>
        <v>0</v>
      </c>
    </row>
    <row r="169" spans="2:42" x14ac:dyDescent="0.25">
      <c r="B169" s="44" t="s">
        <v>534</v>
      </c>
      <c r="C169" s="45" t="s">
        <v>318</v>
      </c>
      <c r="D169" s="32" t="s">
        <v>535</v>
      </c>
      <c r="E169" s="45">
        <v>14</v>
      </c>
      <c r="F169" s="45" t="s">
        <v>320</v>
      </c>
      <c r="G169" s="33">
        <v>0.50090199999999996</v>
      </c>
      <c r="H169" s="34">
        <v>182</v>
      </c>
      <c r="I169" s="35" t="s">
        <v>536</v>
      </c>
      <c r="J169" s="36">
        <v>-4.849145</v>
      </c>
      <c r="K169" s="36">
        <v>-1.0425610000000001</v>
      </c>
      <c r="L169" s="53">
        <f t="shared" si="60"/>
        <v>-882544.39</v>
      </c>
      <c r="M169" s="53">
        <f t="shared" si="61"/>
        <v>692798.28799999994</v>
      </c>
      <c r="N169" s="53">
        <f t="shared" si="62"/>
        <v>-189746.10200000007</v>
      </c>
      <c r="O169" s="36">
        <v>43.370922</v>
      </c>
      <c r="P169" s="36">
        <v>21.778046</v>
      </c>
      <c r="Q169" s="36">
        <f t="shared" si="63"/>
        <v>0</v>
      </c>
      <c r="R169" s="36">
        <f t="shared" si="64"/>
        <v>0</v>
      </c>
      <c r="S169" s="36">
        <f>IF(C169&lt;&gt;"Offshore",0,IFERROR(VLOOKUP(D169,'Local Tariffs'!$A$4:$B$98,2,0),VLOOKUP(A169,'Local Tariffs'!$A$4:$B$98,2,0)))</f>
        <v>43.370922</v>
      </c>
      <c r="T169" s="36">
        <f>IF(C169&lt;&gt;"Offshore",0,VLOOKUP(I169,'Local Tariffs'!$E$4:$F$38,2,0))</f>
        <v>21.778046</v>
      </c>
      <c r="U169" s="53">
        <f t="shared" si="65"/>
        <v>0</v>
      </c>
      <c r="V169" s="53">
        <f t="shared" si="66"/>
        <v>11857112.175999999</v>
      </c>
      <c r="W169" s="36">
        <v>64.106407000000004</v>
      </c>
      <c r="X169" s="37">
        <v>11667366.07</v>
      </c>
      <c r="Y169" s="37">
        <v>8.0000000074505806E-2</v>
      </c>
      <c r="Z169" s="38">
        <v>-1.0425610000000001</v>
      </c>
      <c r="AA169" s="39">
        <v>-189746.1</v>
      </c>
      <c r="AB169" s="40">
        <v>180.60000000000002</v>
      </c>
      <c r="AC169" s="41">
        <v>-188286.52</v>
      </c>
      <c r="AD169" s="41">
        <v>1459.5800000000163</v>
      </c>
      <c r="AE169" s="58">
        <f t="shared" si="67"/>
        <v>-1.0425610000000001</v>
      </c>
      <c r="AF169" s="58">
        <f t="shared" si="68"/>
        <v>0</v>
      </c>
      <c r="AG169" s="58">
        <f t="shared" si="69"/>
        <v>0</v>
      </c>
      <c r="AH169" s="41">
        <f t="shared" si="70"/>
        <v>1459.5853999999763</v>
      </c>
      <c r="AI169" s="41">
        <f t="shared" si="71"/>
        <v>0</v>
      </c>
      <c r="AJ169" s="41">
        <f t="shared" si="72"/>
        <v>0</v>
      </c>
      <c r="AK169" s="42">
        <v>0</v>
      </c>
      <c r="AL169" s="41">
        <v>1459.6600000000908</v>
      </c>
      <c r="AM169" s="41">
        <v>11667365.99</v>
      </c>
      <c r="AN169" s="64">
        <f t="shared" si="73"/>
        <v>11668825.65</v>
      </c>
      <c r="AO169" s="73">
        <f t="shared" si="74"/>
        <v>1459.5853999999763</v>
      </c>
      <c r="AP169" s="73">
        <f t="shared" si="75"/>
        <v>0</v>
      </c>
    </row>
    <row r="170" spans="2:42" x14ac:dyDescent="0.25">
      <c r="B170" s="44" t="s">
        <v>537</v>
      </c>
      <c r="C170" s="45" t="s">
        <v>318</v>
      </c>
      <c r="D170" s="32" t="s">
        <v>538</v>
      </c>
      <c r="E170" s="45">
        <v>14</v>
      </c>
      <c r="F170" s="45" t="s">
        <v>320</v>
      </c>
      <c r="G170" s="33">
        <v>0.53979100000000002</v>
      </c>
      <c r="H170" s="34">
        <v>182</v>
      </c>
      <c r="I170" s="35" t="s">
        <v>539</v>
      </c>
      <c r="J170" s="36">
        <v>-4.849145</v>
      </c>
      <c r="K170" s="36">
        <v>-0.81465799999999966</v>
      </c>
      <c r="L170" s="53">
        <f t="shared" si="60"/>
        <v>-882544.39</v>
      </c>
      <c r="M170" s="53">
        <f t="shared" si="61"/>
        <v>734276.63400000008</v>
      </c>
      <c r="N170" s="53">
        <f t="shared" si="62"/>
        <v>-148267.75599999994</v>
      </c>
      <c r="O170" s="36">
        <v>43.753022000000001</v>
      </c>
      <c r="P170" s="36">
        <v>21.61966</v>
      </c>
      <c r="Q170" s="36">
        <f t="shared" si="63"/>
        <v>0</v>
      </c>
      <c r="R170" s="36">
        <f t="shared" si="64"/>
        <v>0</v>
      </c>
      <c r="S170" s="36">
        <f>IF(C170&lt;&gt;"Offshore",0,IFERROR(VLOOKUP(D170,'Local Tariffs'!$A$4:$B$98,2,0),VLOOKUP(A170,'Local Tariffs'!$A$4:$B$98,2,0)))</f>
        <v>43.753022000000001</v>
      </c>
      <c r="T170" s="36">
        <f>IF(C170&lt;&gt;"Offshore",0,VLOOKUP(I170,'Local Tariffs'!$E$4:$F$38,2,0))</f>
        <v>21.61966</v>
      </c>
      <c r="U170" s="53">
        <f t="shared" si="65"/>
        <v>0</v>
      </c>
      <c r="V170" s="53">
        <f t="shared" si="66"/>
        <v>11897828.124</v>
      </c>
      <c r="W170" s="36">
        <v>64.558024000000003</v>
      </c>
      <c r="X170" s="37">
        <v>11749560.369999999</v>
      </c>
      <c r="Y170" s="37">
        <v>4.0000000968575478E-2</v>
      </c>
      <c r="Z170" s="38">
        <v>-0.81465799999999966</v>
      </c>
      <c r="AA170" s="39">
        <v>-148267.76</v>
      </c>
      <c r="AB170" s="40">
        <v>180.75333333333333</v>
      </c>
      <c r="AC170" s="41">
        <v>-147252.15</v>
      </c>
      <c r="AD170" s="41">
        <v>1015.6100000000151</v>
      </c>
      <c r="AE170" s="58">
        <f t="shared" si="67"/>
        <v>-0.81465799999999966</v>
      </c>
      <c r="AF170" s="58">
        <f t="shared" si="68"/>
        <v>0</v>
      </c>
      <c r="AG170" s="58">
        <f t="shared" si="69"/>
        <v>0</v>
      </c>
      <c r="AH170" s="41">
        <f t="shared" si="70"/>
        <v>1015.6069733333353</v>
      </c>
      <c r="AI170" s="41">
        <f t="shared" si="71"/>
        <v>0</v>
      </c>
      <c r="AJ170" s="41">
        <f t="shared" si="72"/>
        <v>0</v>
      </c>
      <c r="AK170" s="42">
        <v>0</v>
      </c>
      <c r="AL170" s="41">
        <v>1015.6500000009837</v>
      </c>
      <c r="AM170" s="41">
        <v>11749560.329999998</v>
      </c>
      <c r="AN170" s="64">
        <f t="shared" si="73"/>
        <v>11750575.979999999</v>
      </c>
      <c r="AO170" s="73">
        <f t="shared" si="74"/>
        <v>1015.6069733333353</v>
      </c>
      <c r="AP170" s="73">
        <f t="shared" si="75"/>
        <v>0</v>
      </c>
    </row>
    <row r="171" spans="2:42" x14ac:dyDescent="0.25">
      <c r="B171" s="44" t="s">
        <v>540</v>
      </c>
      <c r="C171" s="45" t="s">
        <v>318</v>
      </c>
      <c r="D171" s="32" t="s">
        <v>540</v>
      </c>
      <c r="E171" s="45">
        <v>14</v>
      </c>
      <c r="F171" s="45" t="s">
        <v>320</v>
      </c>
      <c r="G171" s="33">
        <v>0.49756099999999998</v>
      </c>
      <c r="H171" s="34">
        <v>330</v>
      </c>
      <c r="I171" s="35" t="s">
        <v>541</v>
      </c>
      <c r="J171" s="36">
        <v>-4.849145</v>
      </c>
      <c r="K171" s="36">
        <v>-1.062141</v>
      </c>
      <c r="L171" s="53">
        <f t="shared" si="60"/>
        <v>-1600217.85</v>
      </c>
      <c r="M171" s="53">
        <f t="shared" si="61"/>
        <v>1249711.32</v>
      </c>
      <c r="N171" s="53">
        <f t="shared" si="62"/>
        <v>-350506.53</v>
      </c>
      <c r="O171" s="36">
        <v>18.209206999999999</v>
      </c>
      <c r="P171" s="36">
        <v>8.9745410000000003</v>
      </c>
      <c r="Q171" s="36">
        <f t="shared" si="63"/>
        <v>0.1502750000000006</v>
      </c>
      <c r="R171" s="36">
        <f t="shared" si="64"/>
        <v>0</v>
      </c>
      <c r="S171" s="36">
        <f>IF(C171&lt;&gt;"Offshore",0,IFERROR(VLOOKUP(D171,'Local Tariffs'!$A$4:$B$98,2,0),VLOOKUP(A171,'Local Tariffs'!$A$4:$B$98,2,0)))</f>
        <v>18.058931999999999</v>
      </c>
      <c r="T171" s="36">
        <f>IF(C171&lt;&gt;"Offshore",0,VLOOKUP(I171,'Local Tariffs'!$E$4:$F$38,2,0))</f>
        <v>8.9745410000000003</v>
      </c>
      <c r="U171" s="53">
        <f t="shared" si="65"/>
        <v>49590.750000000196</v>
      </c>
      <c r="V171" s="53">
        <f t="shared" si="66"/>
        <v>8921046.0899999999</v>
      </c>
      <c r="W171" s="36">
        <v>26.121606999999997</v>
      </c>
      <c r="X171" s="37">
        <v>8620130.3100000005</v>
      </c>
      <c r="Y171" s="37">
        <v>-2.9999999329447746E-2</v>
      </c>
      <c r="Z171" s="38">
        <v>-1.062141</v>
      </c>
      <c r="AA171" s="39">
        <v>-350506.53</v>
      </c>
      <c r="AB171" s="40">
        <v>329.59533333333337</v>
      </c>
      <c r="AC171" s="41">
        <v>-350076.72</v>
      </c>
      <c r="AD171" s="41">
        <v>429.81000000005588</v>
      </c>
      <c r="AE171" s="58">
        <f t="shared" si="67"/>
        <v>-1.062141</v>
      </c>
      <c r="AF171" s="58">
        <f t="shared" si="68"/>
        <v>0</v>
      </c>
      <c r="AG171" s="58">
        <f t="shared" si="69"/>
        <v>0</v>
      </c>
      <c r="AH171" s="41">
        <f t="shared" si="70"/>
        <v>429.81305799995926</v>
      </c>
      <c r="AI171" s="41">
        <f t="shared" si="71"/>
        <v>0</v>
      </c>
      <c r="AJ171" s="41">
        <f t="shared" si="72"/>
        <v>0</v>
      </c>
      <c r="AK171" s="42">
        <v>0</v>
      </c>
      <c r="AL171" s="41">
        <v>429.78000000072643</v>
      </c>
      <c r="AM171" s="41">
        <v>8620130.3399999999</v>
      </c>
      <c r="AN171" s="64">
        <f t="shared" si="73"/>
        <v>8620560.120000001</v>
      </c>
      <c r="AO171" s="73">
        <f t="shared" si="74"/>
        <v>429.81305799995926</v>
      </c>
      <c r="AP171" s="73">
        <f t="shared" si="75"/>
        <v>0</v>
      </c>
    </row>
    <row r="172" spans="2:42" x14ac:dyDescent="0.25">
      <c r="B172" s="44" t="s">
        <v>542</v>
      </c>
      <c r="C172" s="45" t="s">
        <v>323</v>
      </c>
      <c r="D172" s="45" t="s">
        <v>324</v>
      </c>
      <c r="E172" s="45">
        <v>16</v>
      </c>
      <c r="F172" s="45" t="s">
        <v>325</v>
      </c>
      <c r="G172" s="33">
        <v>0.182198</v>
      </c>
      <c r="H172" s="34">
        <v>1975</v>
      </c>
      <c r="I172" s="35" t="s">
        <v>362</v>
      </c>
      <c r="J172" s="36">
        <v>-4.849145</v>
      </c>
      <c r="K172" s="36">
        <v>-1.4193540000000002</v>
      </c>
      <c r="L172" s="53">
        <f t="shared" si="60"/>
        <v>-9577061.375</v>
      </c>
      <c r="M172" s="53">
        <f t="shared" si="61"/>
        <v>6773837.2249999996</v>
      </c>
      <c r="N172" s="53">
        <f t="shared" si="62"/>
        <v>-2803224.1500000004</v>
      </c>
      <c r="O172" s="36">
        <v>0</v>
      </c>
      <c r="P172" s="36">
        <v>0.43671900000000002</v>
      </c>
      <c r="Q172" s="36">
        <f t="shared" si="63"/>
        <v>0</v>
      </c>
      <c r="R172" s="36">
        <f t="shared" si="64"/>
        <v>0.43671900000000002</v>
      </c>
      <c r="S172" s="36">
        <f>IF(C172&lt;&gt;"Offshore",0,IFERROR(VLOOKUP(D172,'Local Tariffs'!$A$4:$B$98,2,0),VLOOKUP(A172,'Local Tariffs'!$A$4:$B$98,2,0)))</f>
        <v>0</v>
      </c>
      <c r="T172" s="36">
        <f>IF(C172&lt;&gt;"Offshore",0,VLOOKUP(I172,'Local Tariffs'!$E$4:$F$38,2,0))</f>
        <v>0</v>
      </c>
      <c r="U172" s="53">
        <f t="shared" si="65"/>
        <v>862520.02500000002</v>
      </c>
      <c r="V172" s="53">
        <f t="shared" si="66"/>
        <v>0</v>
      </c>
      <c r="W172" s="36">
        <v>-0.98263500000000015</v>
      </c>
      <c r="X172" s="37">
        <v>-1940704.13</v>
      </c>
      <c r="Y172" s="37">
        <v>0.9599999999627471</v>
      </c>
      <c r="Z172" s="38">
        <v>-1.4193540000000002</v>
      </c>
      <c r="AA172" s="39">
        <v>-2803224.15</v>
      </c>
      <c r="AB172" s="40">
        <v>790.02266666666674</v>
      </c>
      <c r="AC172" s="41">
        <v>-1121321.83</v>
      </c>
      <c r="AD172" s="41">
        <v>1681902.3199999998</v>
      </c>
      <c r="AE172" s="58">
        <f t="shared" si="67"/>
        <v>-1.4193540000000002</v>
      </c>
      <c r="AF172" s="58">
        <f t="shared" si="68"/>
        <v>0</v>
      </c>
      <c r="AG172" s="58">
        <f t="shared" si="69"/>
        <v>0</v>
      </c>
      <c r="AH172" s="41">
        <f t="shared" si="70"/>
        <v>1681902.3179760003</v>
      </c>
      <c r="AI172" s="41">
        <f t="shared" si="71"/>
        <v>0</v>
      </c>
      <c r="AJ172" s="41">
        <f t="shared" si="72"/>
        <v>0</v>
      </c>
      <c r="AK172" s="42">
        <v>0</v>
      </c>
      <c r="AL172" s="41">
        <v>1681903.2799999998</v>
      </c>
      <c r="AM172" s="41">
        <v>-1940705.0899999999</v>
      </c>
      <c r="AN172" s="64">
        <f t="shared" si="73"/>
        <v>-258801.81000000006</v>
      </c>
      <c r="AO172" s="73">
        <f t="shared" si="74"/>
        <v>1681902.3179760003</v>
      </c>
      <c r="AP172" s="73">
        <f t="shared" si="75"/>
        <v>0</v>
      </c>
    </row>
    <row r="173" spans="2:42" x14ac:dyDescent="0.25">
      <c r="B173" s="44" t="s">
        <v>543</v>
      </c>
      <c r="C173" s="45" t="s">
        <v>323</v>
      </c>
      <c r="D173" s="45" t="s">
        <v>324</v>
      </c>
      <c r="E173" s="45">
        <v>16</v>
      </c>
      <c r="F173" s="45" t="s">
        <v>340</v>
      </c>
      <c r="G173" s="33">
        <v>0.58814100000000002</v>
      </c>
      <c r="H173" s="34">
        <v>1333</v>
      </c>
      <c r="I173" s="35" t="s">
        <v>362</v>
      </c>
      <c r="J173" s="36">
        <v>-4.849145</v>
      </c>
      <c r="K173" s="36">
        <v>-1.2748160000000004</v>
      </c>
      <c r="L173" s="53">
        <f t="shared" si="60"/>
        <v>-6463910.2850000001</v>
      </c>
      <c r="M173" s="53">
        <f t="shared" si="61"/>
        <v>4764580.5569999991</v>
      </c>
      <c r="N173" s="53">
        <f t="shared" si="62"/>
        <v>-1699329.7280000011</v>
      </c>
      <c r="O173" s="36">
        <v>0</v>
      </c>
      <c r="P173" s="36">
        <v>0.43671900000000002</v>
      </c>
      <c r="Q173" s="36">
        <f t="shared" si="63"/>
        <v>0</v>
      </c>
      <c r="R173" s="36">
        <f t="shared" si="64"/>
        <v>0.43671900000000002</v>
      </c>
      <c r="S173" s="36">
        <f>IF(C173&lt;&gt;"Offshore",0,IFERROR(VLOOKUP(D173,'Local Tariffs'!$A$4:$B$98,2,0),VLOOKUP(A173,'Local Tariffs'!$A$4:$B$98,2,0)))</f>
        <v>0</v>
      </c>
      <c r="T173" s="36">
        <f>IF(C173&lt;&gt;"Offshore",0,VLOOKUP(I173,'Local Tariffs'!$E$4:$F$38,2,0))</f>
        <v>0</v>
      </c>
      <c r="U173" s="53">
        <f t="shared" si="65"/>
        <v>582146.42700000003</v>
      </c>
      <c r="V173" s="53">
        <f t="shared" si="66"/>
        <v>0</v>
      </c>
      <c r="W173" s="36">
        <v>-0.83809700000000031</v>
      </c>
      <c r="X173" s="37">
        <v>-1117183.3</v>
      </c>
      <c r="Y173" s="37">
        <v>0.61000000010244548</v>
      </c>
      <c r="Z173" s="38">
        <v>-1.2748160000000004</v>
      </c>
      <c r="AA173" s="39">
        <v>-1699329.73</v>
      </c>
      <c r="AB173" s="40">
        <v>1286.1533333333334</v>
      </c>
      <c r="AC173" s="41">
        <v>-1639608.85</v>
      </c>
      <c r="AD173" s="41">
        <v>59720.879999999888</v>
      </c>
      <c r="AE173" s="58">
        <f t="shared" si="67"/>
        <v>-1.2748160000000004</v>
      </c>
      <c r="AF173" s="58">
        <f t="shared" si="68"/>
        <v>0</v>
      </c>
      <c r="AG173" s="58">
        <f t="shared" si="69"/>
        <v>0</v>
      </c>
      <c r="AH173" s="41">
        <f t="shared" si="70"/>
        <v>59720.880213333236</v>
      </c>
      <c r="AI173" s="41">
        <f t="shared" si="71"/>
        <v>0</v>
      </c>
      <c r="AJ173" s="41">
        <f t="shared" si="72"/>
        <v>0</v>
      </c>
      <c r="AK173" s="42">
        <v>0</v>
      </c>
      <c r="AL173" s="41">
        <v>59721.489999999991</v>
      </c>
      <c r="AM173" s="41">
        <v>-1117183.9100000001</v>
      </c>
      <c r="AN173" s="64">
        <f t="shared" si="73"/>
        <v>-1057462.4200000002</v>
      </c>
      <c r="AO173" s="73">
        <f t="shared" si="74"/>
        <v>59720.880213333236</v>
      </c>
      <c r="AP173" s="73">
        <f t="shared" si="75"/>
        <v>0</v>
      </c>
    </row>
    <row r="174" spans="2:42" x14ac:dyDescent="0.25">
      <c r="B174" s="44" t="s">
        <v>544</v>
      </c>
      <c r="C174" s="45" t="s">
        <v>318</v>
      </c>
      <c r="D174" s="45" t="s">
        <v>545</v>
      </c>
      <c r="E174" s="45">
        <v>14</v>
      </c>
      <c r="F174" s="45" t="s">
        <v>320</v>
      </c>
      <c r="G174" s="33">
        <v>0.48814600000000002</v>
      </c>
      <c r="H174" s="34">
        <v>382</v>
      </c>
      <c r="I174" s="35" t="s">
        <v>546</v>
      </c>
      <c r="J174" s="36">
        <v>-4.849145</v>
      </c>
      <c r="K174" s="36">
        <v>-1.1173160000000002</v>
      </c>
      <c r="L174" s="53">
        <f t="shared" si="60"/>
        <v>-1852373.39</v>
      </c>
      <c r="M174" s="53">
        <f t="shared" si="61"/>
        <v>1425558.6779999998</v>
      </c>
      <c r="N174" s="53">
        <f t="shared" si="62"/>
        <v>-426814.71200000006</v>
      </c>
      <c r="O174" s="36">
        <v>41.565849999999998</v>
      </c>
      <c r="P174" s="36">
        <v>8.4237230000000007</v>
      </c>
      <c r="Q174" s="36">
        <f t="shared" si="63"/>
        <v>0</v>
      </c>
      <c r="R174" s="36">
        <f t="shared" si="64"/>
        <v>0</v>
      </c>
      <c r="S174" s="36">
        <f>IF(C174&lt;&gt;"Offshore",0,IFERROR(VLOOKUP(D174,'Local Tariffs'!$A$4:$B$98,2,0),VLOOKUP(A174,'Local Tariffs'!$A$4:$B$98,2,0)))</f>
        <v>41.565849999999998</v>
      </c>
      <c r="T174" s="36">
        <f>IF(C174&lt;&gt;"Offshore",0,VLOOKUP(I174,'Local Tariffs'!$E$4:$F$38,2,0))</f>
        <v>8.4237230000000007</v>
      </c>
      <c r="U174" s="53">
        <f t="shared" si="65"/>
        <v>0</v>
      </c>
      <c r="V174" s="53">
        <f t="shared" si="66"/>
        <v>19096016.886</v>
      </c>
      <c r="W174" s="36">
        <v>48.872256999999998</v>
      </c>
      <c r="X174" s="37">
        <v>18669202.170000002</v>
      </c>
      <c r="Y174" s="37">
        <v>3.9999999105930328E-2</v>
      </c>
      <c r="Z174" s="38">
        <v>-1.1173160000000002</v>
      </c>
      <c r="AA174" s="39">
        <v>-426814.71</v>
      </c>
      <c r="AB174" s="40">
        <v>381.22933333333327</v>
      </c>
      <c r="AC174" s="41">
        <v>-425953.63</v>
      </c>
      <c r="AD174" s="41">
        <v>861.0800000000163</v>
      </c>
      <c r="AE174" s="58">
        <f t="shared" si="67"/>
        <v>-1.1173160000000002</v>
      </c>
      <c r="AF174" s="58">
        <f t="shared" si="68"/>
        <v>0</v>
      </c>
      <c r="AG174" s="58">
        <f t="shared" si="69"/>
        <v>0</v>
      </c>
      <c r="AH174" s="41">
        <f t="shared" si="70"/>
        <v>861.07819733340136</v>
      </c>
      <c r="AI174" s="41">
        <f t="shared" si="71"/>
        <v>0</v>
      </c>
      <c r="AJ174" s="41">
        <f t="shared" si="72"/>
        <v>0</v>
      </c>
      <c r="AK174" s="42">
        <v>0</v>
      </c>
      <c r="AL174" s="41">
        <v>861.11999999912223</v>
      </c>
      <c r="AM174" s="41">
        <v>18669202.130000003</v>
      </c>
      <c r="AN174" s="64">
        <f t="shared" si="73"/>
        <v>18670063.25</v>
      </c>
      <c r="AO174" s="73">
        <f t="shared" si="74"/>
        <v>861.07819733340136</v>
      </c>
      <c r="AP174" s="73">
        <f t="shared" si="75"/>
        <v>0</v>
      </c>
    </row>
    <row r="175" spans="2:42" x14ac:dyDescent="0.25">
      <c r="B175" s="44" t="s">
        <v>547</v>
      </c>
      <c r="C175" s="45" t="s">
        <v>318</v>
      </c>
      <c r="D175" s="45" t="s">
        <v>547</v>
      </c>
      <c r="E175" s="45">
        <v>15</v>
      </c>
      <c r="F175" s="45" t="s">
        <v>320</v>
      </c>
      <c r="G175" s="33">
        <v>0.58793799999999996</v>
      </c>
      <c r="H175" s="34">
        <v>206.5</v>
      </c>
      <c r="I175" s="35" t="s">
        <v>548</v>
      </c>
      <c r="J175" s="36">
        <v>-4.849145</v>
      </c>
      <c r="K175" s="36">
        <v>-3.8766069999999999</v>
      </c>
      <c r="L175" s="53">
        <f t="shared" si="60"/>
        <v>-1001348.4425</v>
      </c>
      <c r="M175" s="53">
        <f t="shared" si="61"/>
        <v>200829.09700000001</v>
      </c>
      <c r="N175" s="53">
        <f t="shared" si="62"/>
        <v>-800519.34550000005</v>
      </c>
      <c r="O175" s="36">
        <v>30.004308000000002</v>
      </c>
      <c r="P175" s="36">
        <v>17.737528999999999</v>
      </c>
      <c r="Q175" s="36">
        <f t="shared" si="63"/>
        <v>0</v>
      </c>
      <c r="R175" s="36">
        <f t="shared" si="64"/>
        <v>0</v>
      </c>
      <c r="S175" s="36">
        <f>IF(C175&lt;&gt;"Offshore",0,IFERROR(VLOOKUP(D175,'Local Tariffs'!$A$4:$B$98,2,0),VLOOKUP(A175,'Local Tariffs'!$A$4:$B$98,2,0)))</f>
        <v>30.004308000000002</v>
      </c>
      <c r="T175" s="36">
        <f>IF(C175&lt;&gt;"Offshore",0,VLOOKUP(I175,'Local Tariffs'!$E$4:$F$38,2,0))</f>
        <v>17.737528999999999</v>
      </c>
      <c r="U175" s="53">
        <f t="shared" si="65"/>
        <v>0</v>
      </c>
      <c r="V175" s="53">
        <f t="shared" si="66"/>
        <v>9858689.3405000009</v>
      </c>
      <c r="W175" s="36">
        <v>43.865229999999997</v>
      </c>
      <c r="X175" s="37">
        <v>9058170</v>
      </c>
      <c r="Y175" s="37">
        <v>-8.0000000074505806E-2</v>
      </c>
      <c r="Z175" s="38">
        <v>-3.8766069999999999</v>
      </c>
      <c r="AA175" s="39">
        <v>-800519.35</v>
      </c>
      <c r="AB175" s="40">
        <v>206.00866666666664</v>
      </c>
      <c r="AC175" s="41">
        <v>-798614.64</v>
      </c>
      <c r="AD175" s="41">
        <v>1904.7099999999627</v>
      </c>
      <c r="AE175" s="58">
        <f t="shared" si="67"/>
        <v>-3.8766069999999999</v>
      </c>
      <c r="AF175" s="58">
        <f t="shared" si="68"/>
        <v>0</v>
      </c>
      <c r="AG175" s="58">
        <f t="shared" si="69"/>
        <v>0</v>
      </c>
      <c r="AH175" s="41">
        <f t="shared" si="70"/>
        <v>1904.7062393334299</v>
      </c>
      <c r="AI175" s="41">
        <f t="shared" si="71"/>
        <v>0</v>
      </c>
      <c r="AJ175" s="41">
        <f t="shared" si="72"/>
        <v>0</v>
      </c>
      <c r="AK175" s="42">
        <v>0</v>
      </c>
      <c r="AL175" s="41">
        <v>1904.6299999998882</v>
      </c>
      <c r="AM175" s="41">
        <v>9058170.0800000001</v>
      </c>
      <c r="AN175" s="64">
        <f t="shared" si="73"/>
        <v>9060074.7100000009</v>
      </c>
      <c r="AO175" s="73">
        <f t="shared" si="74"/>
        <v>1904.7062393334299</v>
      </c>
      <c r="AP175" s="73">
        <f t="shared" si="75"/>
        <v>0</v>
      </c>
    </row>
    <row r="176" spans="2:42" x14ac:dyDescent="0.25">
      <c r="B176" s="44" t="s">
        <v>549</v>
      </c>
      <c r="C176" s="45" t="s">
        <v>323</v>
      </c>
      <c r="D176" s="45" t="s">
        <v>549</v>
      </c>
      <c r="E176" s="45">
        <v>10</v>
      </c>
      <c r="F176" s="45" t="s">
        <v>328</v>
      </c>
      <c r="G176" s="33">
        <v>0.30057899999999999</v>
      </c>
      <c r="H176" s="34">
        <v>305</v>
      </c>
      <c r="I176" s="35" t="s">
        <v>359</v>
      </c>
      <c r="J176" s="36">
        <v>-4.849145</v>
      </c>
      <c r="K176" s="36">
        <v>10.407125000000001</v>
      </c>
      <c r="L176" s="53">
        <f t="shared" si="60"/>
        <v>-1478989.2250000001</v>
      </c>
      <c r="M176" s="53">
        <f t="shared" si="61"/>
        <v>4653162.3500000006</v>
      </c>
      <c r="N176" s="53">
        <f t="shared" si="62"/>
        <v>3174173.1250000005</v>
      </c>
      <c r="O176" s="36">
        <v>0.107401</v>
      </c>
      <c r="P176" s="36">
        <v>0.116232</v>
      </c>
      <c r="Q176" s="36">
        <f t="shared" si="63"/>
        <v>0.107401</v>
      </c>
      <c r="R176" s="36">
        <f t="shared" si="64"/>
        <v>0.116232</v>
      </c>
      <c r="S176" s="36">
        <f>IF(C176&lt;&gt;"Offshore",0,IFERROR(VLOOKUP(D176,'Local Tariffs'!$A$4:$B$98,2,0),VLOOKUP(A176,'Local Tariffs'!$A$4:$B$98,2,0)))</f>
        <v>0</v>
      </c>
      <c r="T176" s="36">
        <f>IF(C176&lt;&gt;"Offshore",0,VLOOKUP(I176,'Local Tariffs'!$E$4:$F$38,2,0))</f>
        <v>0</v>
      </c>
      <c r="U176" s="53">
        <f t="shared" si="65"/>
        <v>68208.065000000002</v>
      </c>
      <c r="V176" s="53">
        <f t="shared" si="66"/>
        <v>0</v>
      </c>
      <c r="W176" s="36">
        <v>10.630758</v>
      </c>
      <c r="X176" s="37">
        <v>3242381.19</v>
      </c>
      <c r="Y176" s="37">
        <v>69.990000000223517</v>
      </c>
      <c r="Z176" s="38">
        <v>0</v>
      </c>
      <c r="AA176" s="39">
        <v>0</v>
      </c>
      <c r="AB176" s="40">
        <v>0</v>
      </c>
      <c r="AC176" s="41">
        <v>0</v>
      </c>
      <c r="AD176" s="41">
        <v>0</v>
      </c>
      <c r="AE176" s="58">
        <f t="shared" si="67"/>
        <v>0</v>
      </c>
      <c r="AF176" s="58">
        <f t="shared" si="68"/>
        <v>0</v>
      </c>
      <c r="AG176" s="58">
        <f t="shared" si="69"/>
        <v>0</v>
      </c>
      <c r="AH176" s="41">
        <f t="shared" si="70"/>
        <v>0</v>
      </c>
      <c r="AI176" s="41">
        <f t="shared" si="71"/>
        <v>0</v>
      </c>
      <c r="AJ176" s="41">
        <f t="shared" si="72"/>
        <v>0</v>
      </c>
      <c r="AK176" s="42">
        <v>0</v>
      </c>
      <c r="AL176" s="41">
        <v>69.990000000223517</v>
      </c>
      <c r="AM176" s="41">
        <v>3242311.1999999997</v>
      </c>
      <c r="AN176" s="64">
        <f t="shared" si="73"/>
        <v>3242381.19</v>
      </c>
      <c r="AO176" s="73">
        <f t="shared" si="74"/>
        <v>0</v>
      </c>
      <c r="AP176" s="73">
        <f t="shared" si="75"/>
        <v>0</v>
      </c>
    </row>
    <row r="177" spans="2:42" x14ac:dyDescent="0.25">
      <c r="B177" s="44" t="s">
        <v>550</v>
      </c>
      <c r="C177" s="45" t="s">
        <v>323</v>
      </c>
      <c r="D177" s="45" t="s">
        <v>550</v>
      </c>
      <c r="E177" s="45">
        <v>10</v>
      </c>
      <c r="F177" s="45" t="s">
        <v>328</v>
      </c>
      <c r="G177" s="33">
        <v>0.26198900000000003</v>
      </c>
      <c r="H177" s="34">
        <v>206</v>
      </c>
      <c r="I177" s="35" t="s">
        <v>359</v>
      </c>
      <c r="J177" s="36">
        <v>-4.849145</v>
      </c>
      <c r="K177" s="36">
        <v>9.9409869999999998</v>
      </c>
      <c r="L177" s="53">
        <f t="shared" si="60"/>
        <v>-998923.87</v>
      </c>
      <c r="M177" s="53">
        <f t="shared" si="61"/>
        <v>3046767.1919999998</v>
      </c>
      <c r="N177" s="53">
        <f t="shared" si="62"/>
        <v>2047843.3219999997</v>
      </c>
      <c r="O177" s="36">
        <v>0.29857400000000001</v>
      </c>
      <c r="P177" s="36">
        <v>0.116232</v>
      </c>
      <c r="Q177" s="36">
        <f t="shared" si="63"/>
        <v>0.29857400000000001</v>
      </c>
      <c r="R177" s="36">
        <f t="shared" si="64"/>
        <v>0.116232</v>
      </c>
      <c r="S177" s="36">
        <f>IF(C177&lt;&gt;"Offshore",0,IFERROR(VLOOKUP(D177,'Local Tariffs'!$A$4:$B$98,2,0),VLOOKUP(A177,'Local Tariffs'!$A$4:$B$98,2,0)))</f>
        <v>0</v>
      </c>
      <c r="T177" s="36">
        <f>IF(C177&lt;&gt;"Offshore",0,VLOOKUP(I177,'Local Tariffs'!$E$4:$F$38,2,0))</f>
        <v>0</v>
      </c>
      <c r="U177" s="53">
        <f t="shared" si="65"/>
        <v>85450.035999999993</v>
      </c>
      <c r="V177" s="53">
        <f t="shared" si="66"/>
        <v>0</v>
      </c>
      <c r="W177" s="36">
        <v>10.355793</v>
      </c>
      <c r="X177" s="37">
        <v>2133293.36</v>
      </c>
      <c r="Y177" s="37">
        <v>6.0000000055879354E-2</v>
      </c>
      <c r="Z177" s="38">
        <v>0</v>
      </c>
      <c r="AA177" s="39">
        <v>0</v>
      </c>
      <c r="AB177" s="40">
        <v>0</v>
      </c>
      <c r="AC177" s="41">
        <v>0</v>
      </c>
      <c r="AD177" s="41">
        <v>0</v>
      </c>
      <c r="AE177" s="58">
        <f t="shared" si="67"/>
        <v>0</v>
      </c>
      <c r="AF177" s="58">
        <f t="shared" si="68"/>
        <v>0</v>
      </c>
      <c r="AG177" s="58">
        <f t="shared" si="69"/>
        <v>0</v>
      </c>
      <c r="AH177" s="41">
        <f t="shared" si="70"/>
        <v>0</v>
      </c>
      <c r="AI177" s="41">
        <f t="shared" si="71"/>
        <v>0</v>
      </c>
      <c r="AJ177" s="41">
        <f t="shared" si="72"/>
        <v>0</v>
      </c>
      <c r="AK177" s="42">
        <v>0</v>
      </c>
      <c r="AL177" s="41">
        <v>6.0000000055879354E-2</v>
      </c>
      <c r="AM177" s="41">
        <v>2133293.2999999998</v>
      </c>
      <c r="AN177" s="64">
        <f t="shared" si="73"/>
        <v>2133293.36</v>
      </c>
      <c r="AO177" s="73">
        <f t="shared" si="74"/>
        <v>0</v>
      </c>
      <c r="AP177" s="73">
        <f t="shared" si="75"/>
        <v>0</v>
      </c>
    </row>
    <row r="178" spans="2:42" x14ac:dyDescent="0.25">
      <c r="B178" s="44" t="s">
        <v>551</v>
      </c>
      <c r="C178" s="45" t="s">
        <v>323</v>
      </c>
      <c r="D178" s="45" t="s">
        <v>505</v>
      </c>
      <c r="E178" s="45">
        <v>10</v>
      </c>
      <c r="F178" s="45" t="s">
        <v>328</v>
      </c>
      <c r="G178" s="33">
        <v>0.43040400000000001</v>
      </c>
      <c r="H178" s="34">
        <v>27</v>
      </c>
      <c r="I178" s="35" t="s">
        <v>321</v>
      </c>
      <c r="J178" s="36">
        <v>-4.849145</v>
      </c>
      <c r="K178" s="36">
        <v>0.42968999999999902</v>
      </c>
      <c r="L178" s="53">
        <f t="shared" si="60"/>
        <v>-130926.91500000001</v>
      </c>
      <c r="M178" s="53">
        <f t="shared" si="61"/>
        <v>142528.54499999998</v>
      </c>
      <c r="N178" s="53">
        <f t="shared" si="62"/>
        <v>11601.629999999976</v>
      </c>
      <c r="O178" s="36">
        <v>4.869173</v>
      </c>
      <c r="P178" s="36">
        <v>0.203179</v>
      </c>
      <c r="Q178" s="36">
        <f t="shared" si="63"/>
        <v>4.869173</v>
      </c>
      <c r="R178" s="36">
        <f t="shared" si="64"/>
        <v>0.203179</v>
      </c>
      <c r="S178" s="36">
        <f>IF(C178&lt;&gt;"Offshore",0,IFERROR(VLOOKUP(D178,'Local Tariffs'!$A$4:$B$98,2,0),VLOOKUP(A178,'Local Tariffs'!$A$4:$B$98,2,0)))</f>
        <v>0</v>
      </c>
      <c r="T178" s="36">
        <f>IF(C178&lt;&gt;"Offshore",0,VLOOKUP(I178,'Local Tariffs'!$E$4:$F$38,2,0))</f>
        <v>0</v>
      </c>
      <c r="U178" s="53">
        <f t="shared" si="65"/>
        <v>136953.50400000002</v>
      </c>
      <c r="V178" s="53">
        <f t="shared" si="66"/>
        <v>0</v>
      </c>
      <c r="W178" s="36">
        <v>5.5020419999999994</v>
      </c>
      <c r="X178" s="37">
        <v>148555.13</v>
      </c>
      <c r="Y178" s="37">
        <v>0</v>
      </c>
      <c r="Z178" s="38">
        <v>0</v>
      </c>
      <c r="AA178" s="39">
        <v>0</v>
      </c>
      <c r="AB178" s="40">
        <v>0</v>
      </c>
      <c r="AC178" s="41">
        <v>0</v>
      </c>
      <c r="AD178" s="41">
        <v>0</v>
      </c>
      <c r="AE178" s="58">
        <f t="shared" si="67"/>
        <v>0</v>
      </c>
      <c r="AF178" s="58">
        <f t="shared" si="68"/>
        <v>0</v>
      </c>
      <c r="AG178" s="58">
        <f t="shared" si="69"/>
        <v>0</v>
      </c>
      <c r="AH178" s="41">
        <f t="shared" si="70"/>
        <v>0</v>
      </c>
      <c r="AI178" s="41">
        <f t="shared" si="71"/>
        <v>0</v>
      </c>
      <c r="AJ178" s="41">
        <f t="shared" si="72"/>
        <v>0</v>
      </c>
      <c r="AK178" s="42">
        <v>0</v>
      </c>
      <c r="AL178" s="41">
        <v>0</v>
      </c>
      <c r="AM178" s="41">
        <v>148555.13</v>
      </c>
      <c r="AN178" s="64">
        <f t="shared" si="73"/>
        <v>148555.13</v>
      </c>
      <c r="AO178" s="73">
        <f t="shared" si="74"/>
        <v>0</v>
      </c>
      <c r="AP178" s="73">
        <f t="shared" si="75"/>
        <v>0</v>
      </c>
    </row>
    <row r="179" spans="2:42" x14ac:dyDescent="0.25">
      <c r="B179" s="44" t="s">
        <v>552</v>
      </c>
      <c r="C179" s="45" t="s">
        <v>323</v>
      </c>
      <c r="D179" s="45" t="s">
        <v>324</v>
      </c>
      <c r="E179" s="45">
        <v>13</v>
      </c>
      <c r="F179" s="45" t="s">
        <v>340</v>
      </c>
      <c r="G179" s="33">
        <v>0.17721400000000001</v>
      </c>
      <c r="H179" s="34">
        <v>141</v>
      </c>
      <c r="I179" s="35" t="s">
        <v>326</v>
      </c>
      <c r="J179" s="36">
        <v>-4.849145</v>
      </c>
      <c r="K179" s="36">
        <v>0.85366853964799994</v>
      </c>
      <c r="L179" s="53">
        <f t="shared" si="60"/>
        <v>-683729.44500000007</v>
      </c>
      <c r="M179" s="53">
        <f t="shared" si="61"/>
        <v>804096.70909036801</v>
      </c>
      <c r="N179" s="53">
        <f t="shared" si="62"/>
        <v>120367.26409036794</v>
      </c>
      <c r="O179" s="36">
        <v>0</v>
      </c>
      <c r="P179" s="36">
        <v>0.27692499999999998</v>
      </c>
      <c r="Q179" s="36">
        <f t="shared" si="63"/>
        <v>0</v>
      </c>
      <c r="R179" s="36">
        <f t="shared" si="64"/>
        <v>0.27692499999999998</v>
      </c>
      <c r="S179" s="36">
        <f>IF(C179&lt;&gt;"Offshore",0,IFERROR(VLOOKUP(D179,'Local Tariffs'!$A$4:$B$98,2,0),VLOOKUP(A179,'Local Tariffs'!$A$4:$B$98,2,0)))</f>
        <v>0</v>
      </c>
      <c r="T179" s="36">
        <f>IF(C179&lt;&gt;"Offshore",0,VLOOKUP(I179,'Local Tariffs'!$E$4:$F$38,2,0))</f>
        <v>0</v>
      </c>
      <c r="U179" s="53">
        <f t="shared" si="65"/>
        <v>39046.425000000003</v>
      </c>
      <c r="V179" s="53">
        <f t="shared" si="66"/>
        <v>0</v>
      </c>
      <c r="W179" s="36">
        <v>1.1305935396479998</v>
      </c>
      <c r="X179" s="37">
        <v>159413.69</v>
      </c>
      <c r="Y179" s="37">
        <v>6.0000000026775524E-2</v>
      </c>
      <c r="Z179" s="38">
        <v>0</v>
      </c>
      <c r="AA179" s="39">
        <v>0</v>
      </c>
      <c r="AB179" s="40">
        <v>0</v>
      </c>
      <c r="AC179" s="41">
        <v>0</v>
      </c>
      <c r="AD179" s="41">
        <v>0</v>
      </c>
      <c r="AE179" s="58">
        <f t="shared" si="67"/>
        <v>0</v>
      </c>
      <c r="AF179" s="58">
        <f t="shared" si="68"/>
        <v>0</v>
      </c>
      <c r="AG179" s="58">
        <f t="shared" si="69"/>
        <v>0</v>
      </c>
      <c r="AH179" s="41">
        <f t="shared" si="70"/>
        <v>0</v>
      </c>
      <c r="AI179" s="41">
        <f t="shared" si="71"/>
        <v>0</v>
      </c>
      <c r="AJ179" s="41">
        <f t="shared" si="72"/>
        <v>0</v>
      </c>
      <c r="AK179" s="42">
        <v>0</v>
      </c>
      <c r="AL179" s="41">
        <v>6.0000000026775524E-2</v>
      </c>
      <c r="AM179" s="41">
        <v>159413.62999999998</v>
      </c>
      <c r="AN179" s="64">
        <f t="shared" si="73"/>
        <v>159413.69</v>
      </c>
      <c r="AO179" s="73">
        <f t="shared" si="74"/>
        <v>0</v>
      </c>
      <c r="AP179" s="73">
        <f t="shared" si="75"/>
        <v>0</v>
      </c>
    </row>
    <row r="180" spans="2:42" x14ac:dyDescent="0.25">
      <c r="B180" s="44" t="s">
        <v>553</v>
      </c>
      <c r="C180" s="45" t="s">
        <v>323</v>
      </c>
      <c r="D180" s="45" t="s">
        <v>554</v>
      </c>
      <c r="E180" s="45">
        <v>10</v>
      </c>
      <c r="F180" s="45" t="s">
        <v>328</v>
      </c>
      <c r="G180" s="33">
        <v>0.42804999999999999</v>
      </c>
      <c r="H180" s="34">
        <v>61.5</v>
      </c>
      <c r="I180" s="35" t="s">
        <v>331</v>
      </c>
      <c r="J180" s="36">
        <v>-4.849145</v>
      </c>
      <c r="K180" s="36">
        <v>0.40125500000000081</v>
      </c>
      <c r="L180" s="53">
        <f t="shared" si="60"/>
        <v>-298222.41749999998</v>
      </c>
      <c r="M180" s="53">
        <f t="shared" si="61"/>
        <v>322899.60000000009</v>
      </c>
      <c r="N180" s="53">
        <f t="shared" si="62"/>
        <v>24677.182500000112</v>
      </c>
      <c r="O180" s="36">
        <v>1.449479</v>
      </c>
      <c r="P180" s="36">
        <v>0.44758700000000001</v>
      </c>
      <c r="Q180" s="36">
        <f t="shared" si="63"/>
        <v>1.449479</v>
      </c>
      <c r="R180" s="36">
        <f t="shared" si="64"/>
        <v>0.44758700000000001</v>
      </c>
      <c r="S180" s="36">
        <f>IF(C180&lt;&gt;"Offshore",0,IFERROR(VLOOKUP(D180,'Local Tariffs'!$A$4:$B$98,2,0),VLOOKUP(A180,'Local Tariffs'!$A$4:$B$98,2,0)))</f>
        <v>0</v>
      </c>
      <c r="T180" s="36">
        <f>IF(C180&lt;&gt;"Offshore",0,VLOOKUP(I180,'Local Tariffs'!$E$4:$F$38,2,0))</f>
        <v>0</v>
      </c>
      <c r="U180" s="53">
        <f t="shared" si="65"/>
        <v>116669.55899999999</v>
      </c>
      <c r="V180" s="53">
        <f t="shared" si="66"/>
        <v>0</v>
      </c>
      <c r="W180" s="36">
        <v>2.2983210000000009</v>
      </c>
      <c r="X180" s="37">
        <v>141346.74</v>
      </c>
      <c r="Y180" s="37">
        <v>-1.9999999989522621E-2</v>
      </c>
      <c r="Z180" s="38">
        <v>0</v>
      </c>
      <c r="AA180" s="39">
        <v>0</v>
      </c>
      <c r="AB180" s="40">
        <v>0</v>
      </c>
      <c r="AC180" s="41">
        <v>0</v>
      </c>
      <c r="AD180" s="41">
        <v>0</v>
      </c>
      <c r="AE180" s="58">
        <f t="shared" si="67"/>
        <v>0</v>
      </c>
      <c r="AF180" s="58">
        <f t="shared" si="68"/>
        <v>0</v>
      </c>
      <c r="AG180" s="58">
        <f t="shared" si="69"/>
        <v>0</v>
      </c>
      <c r="AH180" s="41">
        <f t="shared" si="70"/>
        <v>0</v>
      </c>
      <c r="AI180" s="41">
        <f t="shared" si="71"/>
        <v>0</v>
      </c>
      <c r="AJ180" s="41">
        <f t="shared" si="72"/>
        <v>0</v>
      </c>
      <c r="AK180" s="42">
        <v>0</v>
      </c>
      <c r="AL180" s="41">
        <v>-1.9999999989522621E-2</v>
      </c>
      <c r="AM180" s="41">
        <v>141346.75999999998</v>
      </c>
      <c r="AN180" s="64">
        <f t="shared" si="73"/>
        <v>141346.74</v>
      </c>
      <c r="AO180" s="73">
        <f t="shared" si="74"/>
        <v>0</v>
      </c>
      <c r="AP180" s="73">
        <f t="shared" si="75"/>
        <v>0</v>
      </c>
    </row>
    <row r="181" spans="2:42" x14ac:dyDescent="0.25">
      <c r="B181" s="44" t="s">
        <v>555</v>
      </c>
      <c r="C181" s="45" t="s">
        <v>323</v>
      </c>
      <c r="D181" s="45" t="s">
        <v>324</v>
      </c>
      <c r="E181" s="45">
        <v>19</v>
      </c>
      <c r="F181" s="45" t="s">
        <v>395</v>
      </c>
      <c r="G181" s="33">
        <v>0</v>
      </c>
      <c r="H181" s="34">
        <v>0</v>
      </c>
      <c r="I181" s="35" t="s">
        <v>356</v>
      </c>
      <c r="J181" s="36">
        <v>-4.849145</v>
      </c>
      <c r="K181" s="36">
        <v>-1.3726370000000001</v>
      </c>
      <c r="L181" s="53">
        <f t="shared" si="60"/>
        <v>0</v>
      </c>
      <c r="M181" s="53">
        <f t="shared" si="61"/>
        <v>0</v>
      </c>
      <c r="N181" s="53">
        <f t="shared" si="62"/>
        <v>0</v>
      </c>
      <c r="O181" s="36">
        <v>0</v>
      </c>
      <c r="P181" s="36">
        <v>0.201402</v>
      </c>
      <c r="Q181" s="36">
        <f t="shared" si="63"/>
        <v>0</v>
      </c>
      <c r="R181" s="36">
        <f t="shared" si="64"/>
        <v>0.201402</v>
      </c>
      <c r="S181" s="36">
        <f>IF(C181&lt;&gt;"Offshore",0,IFERROR(VLOOKUP(D181,'Local Tariffs'!$A$4:$B$98,2,0),VLOOKUP(A181,'Local Tariffs'!$A$4:$B$98,2,0)))</f>
        <v>0</v>
      </c>
      <c r="T181" s="36">
        <f>IF(C181&lt;&gt;"Offshore",0,VLOOKUP(I181,'Local Tariffs'!$E$4:$F$38,2,0))</f>
        <v>0</v>
      </c>
      <c r="U181" s="53">
        <f t="shared" si="65"/>
        <v>0</v>
      </c>
      <c r="V181" s="53">
        <f t="shared" si="66"/>
        <v>0</v>
      </c>
      <c r="W181" s="36">
        <v>-1.171235</v>
      </c>
      <c r="X181" s="37">
        <v>0</v>
      </c>
      <c r="Y181" s="37">
        <v>0</v>
      </c>
      <c r="Z181" s="38">
        <v>-1.3726370000000001</v>
      </c>
      <c r="AA181" s="39">
        <v>0</v>
      </c>
      <c r="AB181" s="40">
        <v>0</v>
      </c>
      <c r="AC181" s="41">
        <v>0</v>
      </c>
      <c r="AD181" s="41">
        <v>0</v>
      </c>
      <c r="AE181" s="58">
        <f t="shared" si="67"/>
        <v>-1.3726370000000001</v>
      </c>
      <c r="AF181" s="58">
        <f t="shared" si="68"/>
        <v>0</v>
      </c>
      <c r="AG181" s="58">
        <f t="shared" si="69"/>
        <v>0</v>
      </c>
      <c r="AH181" s="41">
        <f t="shared" si="70"/>
        <v>0</v>
      </c>
      <c r="AI181" s="41">
        <f t="shared" si="71"/>
        <v>0</v>
      </c>
      <c r="AJ181" s="41">
        <f t="shared" si="72"/>
        <v>0</v>
      </c>
      <c r="AK181" s="42">
        <v>63772.06</v>
      </c>
      <c r="AL181" s="41">
        <v>63772.06</v>
      </c>
      <c r="AM181" s="41">
        <v>0</v>
      </c>
      <c r="AN181" s="64">
        <f t="shared" si="73"/>
        <v>63772.06</v>
      </c>
      <c r="AO181" s="73">
        <f t="shared" si="74"/>
        <v>0</v>
      </c>
      <c r="AP181" s="73">
        <f t="shared" si="75"/>
        <v>0</v>
      </c>
    </row>
  </sheetData>
  <autoFilter ref="B9:AL181" xr:uid="{24C8504F-4814-4A6E-8B7F-4FC943027913}"/>
  <mergeCells count="1">
    <mergeCell ref="A4:B4"/>
  </mergeCells>
  <conditionalFormatting sqref="Y137:Y181 Y107:Y135 Y10:Y105">
    <cfRule type="cellIs" dxfId="3" priority="3" operator="lessThan">
      <formula>-1</formula>
    </cfRule>
    <cfRule type="cellIs" dxfId="2" priority="4" operator="greaterThan">
      <formula>1</formula>
    </cfRule>
  </conditionalFormatting>
  <conditionalFormatting sqref="Y106">
    <cfRule type="cellIs" dxfId="1" priority="1" operator="lessThan">
      <formula>-1</formula>
    </cfRule>
    <cfRule type="cellIs" dxfId="0" priority="2" operator="greaterThan">
      <formula>1</formula>
    </cfRule>
  </conditionalFormatting>
  <pageMargins left="0.7" right="0.7" top="0.75" bottom="0.75" header="0.3" footer="0.3"/>
  <pageSetup orientation="portrait"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9E87BF-A7BA-4A4B-9C3B-F12E1C5C93C7}">
  <dimension ref="A3:F98"/>
  <sheetViews>
    <sheetView topLeftCell="A8" workbookViewId="0">
      <selection activeCell="A76" sqref="A76:A98"/>
    </sheetView>
  </sheetViews>
  <sheetFormatPr defaultRowHeight="15" x14ac:dyDescent="0.25"/>
  <cols>
    <col min="1" max="1" width="19.5703125" bestFit="1" customWidth="1"/>
    <col min="2" max="2" width="10" bestFit="1" customWidth="1"/>
    <col min="5" max="5" width="34.85546875" bestFit="1" customWidth="1"/>
    <col min="6" max="6" width="10" bestFit="1" customWidth="1"/>
  </cols>
  <sheetData>
    <row r="3" spans="1:6" x14ac:dyDescent="0.25">
      <c r="A3" s="1" t="s">
        <v>574</v>
      </c>
      <c r="E3" s="1" t="s">
        <v>580</v>
      </c>
    </row>
    <row r="4" spans="1:6" x14ac:dyDescent="0.25">
      <c r="A4" t="s">
        <v>560</v>
      </c>
      <c r="B4">
        <v>1.6748000000000001</v>
      </c>
      <c r="E4" t="s">
        <v>321</v>
      </c>
      <c r="F4">
        <v>0.203179</v>
      </c>
    </row>
    <row r="5" spans="1:6" x14ac:dyDescent="0.25">
      <c r="A5" t="s">
        <v>319</v>
      </c>
      <c r="B5">
        <v>2.6385740000000002</v>
      </c>
      <c r="E5" t="s">
        <v>331</v>
      </c>
      <c r="F5">
        <v>0.44758700000000001</v>
      </c>
    </row>
    <row r="6" spans="1:6" x14ac:dyDescent="0.25">
      <c r="A6" t="s">
        <v>327</v>
      </c>
      <c r="B6">
        <v>4.345091</v>
      </c>
      <c r="E6" t="s">
        <v>575</v>
      </c>
      <c r="F6" t="s">
        <v>576</v>
      </c>
    </row>
    <row r="7" spans="1:6" x14ac:dyDescent="0.25">
      <c r="A7" t="s">
        <v>332</v>
      </c>
      <c r="B7">
        <v>0.66186199999999995</v>
      </c>
      <c r="E7" t="s">
        <v>577</v>
      </c>
      <c r="F7" t="s">
        <v>576</v>
      </c>
    </row>
    <row r="8" spans="1:6" x14ac:dyDescent="0.25">
      <c r="A8" t="s">
        <v>336</v>
      </c>
      <c r="B8">
        <v>-0.96943699999999999</v>
      </c>
      <c r="E8" t="s">
        <v>359</v>
      </c>
      <c r="F8">
        <v>0.116232</v>
      </c>
    </row>
    <row r="9" spans="1:6" x14ac:dyDescent="0.25">
      <c r="A9" t="s">
        <v>337</v>
      </c>
      <c r="B9">
        <v>2.101823</v>
      </c>
      <c r="E9" t="s">
        <v>326</v>
      </c>
      <c r="F9">
        <v>0.27692499999999998</v>
      </c>
    </row>
    <row r="10" spans="1:6" x14ac:dyDescent="0.25">
      <c r="A10" t="s">
        <v>339</v>
      </c>
      <c r="B10">
        <v>0.77001299999999995</v>
      </c>
      <c r="E10" t="s">
        <v>578</v>
      </c>
      <c r="F10">
        <v>0.36443799999999998</v>
      </c>
    </row>
    <row r="11" spans="1:6" x14ac:dyDescent="0.25">
      <c r="A11" t="s">
        <v>561</v>
      </c>
      <c r="B11">
        <v>1.519952</v>
      </c>
      <c r="E11" t="s">
        <v>579</v>
      </c>
      <c r="F11">
        <v>0.59831299999999998</v>
      </c>
    </row>
    <row r="12" spans="1:6" x14ac:dyDescent="0.25">
      <c r="A12" t="s">
        <v>562</v>
      </c>
      <c r="B12">
        <v>0.65338600000000002</v>
      </c>
      <c r="E12" t="s">
        <v>446</v>
      </c>
      <c r="F12">
        <v>8.3748000000000003E-2</v>
      </c>
    </row>
    <row r="13" spans="1:6" x14ac:dyDescent="0.25">
      <c r="A13" t="s">
        <v>330</v>
      </c>
      <c r="B13">
        <v>1.571596</v>
      </c>
      <c r="E13" t="s">
        <v>356</v>
      </c>
      <c r="F13">
        <v>0.201402</v>
      </c>
    </row>
    <row r="14" spans="1:6" x14ac:dyDescent="0.25">
      <c r="A14" t="s">
        <v>347</v>
      </c>
      <c r="B14">
        <v>1.7683070000000001</v>
      </c>
      <c r="E14" t="s">
        <v>389</v>
      </c>
      <c r="F14">
        <v>0.26356200000000002</v>
      </c>
    </row>
    <row r="15" spans="1:6" x14ac:dyDescent="0.25">
      <c r="A15" t="s">
        <v>563</v>
      </c>
      <c r="B15">
        <v>6.3704700000000001</v>
      </c>
      <c r="E15" t="s">
        <v>362</v>
      </c>
      <c r="F15">
        <v>0.43671900000000002</v>
      </c>
    </row>
    <row r="16" spans="1:6" x14ac:dyDescent="0.25">
      <c r="A16" t="s">
        <v>564</v>
      </c>
      <c r="B16">
        <v>3.7499250000000002</v>
      </c>
      <c r="E16" t="s">
        <v>342</v>
      </c>
      <c r="F16">
        <v>8.1624440000000007</v>
      </c>
    </row>
    <row r="17" spans="1:6" x14ac:dyDescent="0.25">
      <c r="A17" t="s">
        <v>358</v>
      </c>
      <c r="B17">
        <v>0.110981</v>
      </c>
      <c r="E17" t="s">
        <v>352</v>
      </c>
      <c r="F17">
        <v>10.580601</v>
      </c>
    </row>
    <row r="18" spans="1:6" x14ac:dyDescent="0.25">
      <c r="A18" t="s">
        <v>360</v>
      </c>
      <c r="B18">
        <v>0.12834400000000001</v>
      </c>
      <c r="E18" t="s">
        <v>393</v>
      </c>
      <c r="F18">
        <v>15.326966000000001</v>
      </c>
    </row>
    <row r="19" spans="1:6" x14ac:dyDescent="0.25">
      <c r="A19" t="s">
        <v>365</v>
      </c>
      <c r="B19">
        <v>2.9317489999999999</v>
      </c>
      <c r="E19" t="s">
        <v>424</v>
      </c>
      <c r="F19">
        <v>15.324099</v>
      </c>
    </row>
    <row r="20" spans="1:6" x14ac:dyDescent="0.25">
      <c r="A20" t="s">
        <v>366</v>
      </c>
      <c r="B20">
        <v>1.685397</v>
      </c>
      <c r="E20" t="s">
        <v>428</v>
      </c>
      <c r="F20">
        <v>17.665293999999999</v>
      </c>
    </row>
    <row r="21" spans="1:6" x14ac:dyDescent="0.25">
      <c r="A21" t="s">
        <v>367</v>
      </c>
      <c r="B21">
        <v>4.9976E-2</v>
      </c>
      <c r="E21" t="s">
        <v>431</v>
      </c>
      <c r="F21">
        <v>18.654651000000001</v>
      </c>
    </row>
    <row r="22" spans="1:6" x14ac:dyDescent="0.25">
      <c r="A22" t="s">
        <v>377</v>
      </c>
      <c r="B22">
        <v>1.846679</v>
      </c>
      <c r="E22" t="s">
        <v>444</v>
      </c>
      <c r="F22">
        <v>15.005644</v>
      </c>
    </row>
    <row r="23" spans="1:6" x14ac:dyDescent="0.25">
      <c r="A23" t="s">
        <v>379</v>
      </c>
      <c r="B23">
        <v>0.137216</v>
      </c>
      <c r="E23" t="s">
        <v>465</v>
      </c>
      <c r="F23">
        <v>15.268405</v>
      </c>
    </row>
    <row r="24" spans="1:6" x14ac:dyDescent="0.25">
      <c r="A24" t="s">
        <v>381</v>
      </c>
      <c r="B24">
        <v>1.753949</v>
      </c>
      <c r="E24" t="s">
        <v>470</v>
      </c>
      <c r="F24">
        <v>10.412718</v>
      </c>
    </row>
    <row r="25" spans="1:6" x14ac:dyDescent="0.25">
      <c r="A25" t="s">
        <v>383</v>
      </c>
      <c r="B25">
        <v>2.881488</v>
      </c>
      <c r="E25" t="s">
        <v>484</v>
      </c>
      <c r="F25">
        <v>25.233892999999998</v>
      </c>
    </row>
    <row r="26" spans="1:6" x14ac:dyDescent="0.25">
      <c r="A26" t="s">
        <v>385</v>
      </c>
      <c r="B26">
        <v>2.4376679999999999</v>
      </c>
      <c r="E26" t="s">
        <v>498</v>
      </c>
      <c r="F26">
        <v>-0.46679300000000001</v>
      </c>
    </row>
    <row r="27" spans="1:6" x14ac:dyDescent="0.25">
      <c r="A27" t="s">
        <v>388</v>
      </c>
      <c r="B27">
        <v>2.4280249999999999</v>
      </c>
      <c r="E27" t="s">
        <v>500</v>
      </c>
      <c r="F27">
        <v>-0.46679300000000001</v>
      </c>
    </row>
    <row r="28" spans="1:6" x14ac:dyDescent="0.25">
      <c r="A28" t="s">
        <v>390</v>
      </c>
      <c r="B28">
        <v>2.1237780000000002</v>
      </c>
      <c r="E28" t="s">
        <v>510</v>
      </c>
      <c r="F28">
        <v>24.410420999999999</v>
      </c>
    </row>
    <row r="29" spans="1:6" x14ac:dyDescent="0.25">
      <c r="A29" t="s">
        <v>565</v>
      </c>
      <c r="B29">
        <v>1.1469830000000001</v>
      </c>
      <c r="E29" t="s">
        <v>525</v>
      </c>
      <c r="F29">
        <v>18.575959999999998</v>
      </c>
    </row>
    <row r="30" spans="1:6" x14ac:dyDescent="0.25">
      <c r="A30" t="s">
        <v>554</v>
      </c>
      <c r="B30">
        <v>1.449479</v>
      </c>
      <c r="E30" t="s">
        <v>536</v>
      </c>
      <c r="F30">
        <v>21.778046</v>
      </c>
    </row>
    <row r="31" spans="1:6" x14ac:dyDescent="0.25">
      <c r="A31" t="s">
        <v>396</v>
      </c>
      <c r="B31">
        <v>1.526206</v>
      </c>
      <c r="E31" t="s">
        <v>548</v>
      </c>
      <c r="F31">
        <v>17.737528999999999</v>
      </c>
    </row>
    <row r="32" spans="1:6" x14ac:dyDescent="0.25">
      <c r="A32" t="s">
        <v>401</v>
      </c>
      <c r="B32">
        <v>6.9274889999999996</v>
      </c>
      <c r="E32" t="s">
        <v>546</v>
      </c>
      <c r="F32">
        <v>8.4237230000000007</v>
      </c>
    </row>
    <row r="33" spans="1:6" x14ac:dyDescent="0.25">
      <c r="A33" t="s">
        <v>376</v>
      </c>
      <c r="B33">
        <v>2.4630190000000001</v>
      </c>
      <c r="E33" t="s">
        <v>539</v>
      </c>
      <c r="F33">
        <v>21.61966</v>
      </c>
    </row>
    <row r="34" spans="1:6" x14ac:dyDescent="0.25">
      <c r="A34" t="s">
        <v>403</v>
      </c>
      <c r="B34">
        <v>0.43870100000000001</v>
      </c>
      <c r="E34" t="s">
        <v>415</v>
      </c>
      <c r="F34">
        <v>15.703602999999999</v>
      </c>
    </row>
    <row r="35" spans="1:6" x14ac:dyDescent="0.25">
      <c r="A35" t="s">
        <v>405</v>
      </c>
      <c r="B35">
        <v>3.6081240000000001</v>
      </c>
      <c r="E35" t="s">
        <v>493</v>
      </c>
      <c r="F35">
        <v>9.6249850000000006</v>
      </c>
    </row>
    <row r="36" spans="1:6" x14ac:dyDescent="0.25">
      <c r="A36" t="s">
        <v>354</v>
      </c>
      <c r="B36">
        <v>4.451403</v>
      </c>
      <c r="E36" t="s">
        <v>440</v>
      </c>
      <c r="F36">
        <v>0.35425499999999999</v>
      </c>
    </row>
    <row r="37" spans="1:6" x14ac:dyDescent="0.25">
      <c r="A37" t="s">
        <v>566</v>
      </c>
      <c r="B37">
        <v>0.25602900000000001</v>
      </c>
      <c r="E37" t="s">
        <v>541</v>
      </c>
      <c r="F37">
        <v>8.9745410000000003</v>
      </c>
    </row>
    <row r="38" spans="1:6" x14ac:dyDescent="0.25">
      <c r="A38" t="s">
        <v>410</v>
      </c>
      <c r="B38">
        <v>0.32403500000000002</v>
      </c>
      <c r="E38" t="s">
        <v>533</v>
      </c>
      <c r="F38">
        <v>8.9745410000000003</v>
      </c>
    </row>
    <row r="39" spans="1:6" x14ac:dyDescent="0.25">
      <c r="A39" t="s">
        <v>411</v>
      </c>
      <c r="B39">
        <v>0.29642600000000002</v>
      </c>
    </row>
    <row r="40" spans="1:6" x14ac:dyDescent="0.25">
      <c r="A40" t="s">
        <v>413</v>
      </c>
      <c r="B40">
        <v>3.5410180000000002</v>
      </c>
    </row>
    <row r="41" spans="1:6" x14ac:dyDescent="0.25">
      <c r="A41" t="s">
        <v>417</v>
      </c>
      <c r="B41">
        <v>1.8614539999999999</v>
      </c>
    </row>
    <row r="42" spans="1:6" x14ac:dyDescent="0.25">
      <c r="A42" t="s">
        <v>505</v>
      </c>
      <c r="B42">
        <v>4.869173</v>
      </c>
    </row>
    <row r="43" spans="1:6" x14ac:dyDescent="0.25">
      <c r="A43" t="s">
        <v>419</v>
      </c>
      <c r="B43">
        <v>0.24151900000000001</v>
      </c>
    </row>
    <row r="44" spans="1:6" x14ac:dyDescent="0.25">
      <c r="A44" t="s">
        <v>425</v>
      </c>
      <c r="B44">
        <v>9.8298989999999993</v>
      </c>
    </row>
    <row r="45" spans="1:6" x14ac:dyDescent="0.25">
      <c r="A45" t="s">
        <v>432</v>
      </c>
      <c r="B45">
        <v>2.801053</v>
      </c>
    </row>
    <row r="46" spans="1:6" x14ac:dyDescent="0.25">
      <c r="A46" t="s">
        <v>434</v>
      </c>
      <c r="B46">
        <v>2.5547200000000001</v>
      </c>
    </row>
    <row r="47" spans="1:6" x14ac:dyDescent="0.25">
      <c r="A47" t="s">
        <v>435</v>
      </c>
      <c r="B47">
        <v>0.207898</v>
      </c>
    </row>
    <row r="48" spans="1:6" x14ac:dyDescent="0.25">
      <c r="A48" t="s">
        <v>449</v>
      </c>
      <c r="B48">
        <v>0.37032599999999999</v>
      </c>
    </row>
    <row r="49" spans="1:2" x14ac:dyDescent="0.25">
      <c r="A49" t="s">
        <v>457</v>
      </c>
      <c r="B49">
        <v>1.0650569999999999</v>
      </c>
    </row>
    <row r="50" spans="1:2" x14ac:dyDescent="0.25">
      <c r="A50" t="s">
        <v>459</v>
      </c>
      <c r="B50">
        <v>0.19985900000000001</v>
      </c>
    </row>
    <row r="51" spans="1:2" x14ac:dyDescent="0.25">
      <c r="A51" t="s">
        <v>461</v>
      </c>
      <c r="B51">
        <v>1.5010220000000001</v>
      </c>
    </row>
    <row r="52" spans="1:2" x14ac:dyDescent="0.25">
      <c r="A52" t="s">
        <v>462</v>
      </c>
      <c r="B52">
        <v>0.66558099999999998</v>
      </c>
    </row>
    <row r="53" spans="1:2" x14ac:dyDescent="0.25">
      <c r="A53" t="s">
        <v>467</v>
      </c>
      <c r="B53">
        <v>0.37032599999999999</v>
      </c>
    </row>
    <row r="54" spans="1:2" x14ac:dyDescent="0.25">
      <c r="A54" t="s">
        <v>471</v>
      </c>
      <c r="B54">
        <v>0.58209</v>
      </c>
    </row>
    <row r="55" spans="1:2" x14ac:dyDescent="0.25">
      <c r="A55" t="s">
        <v>473</v>
      </c>
      <c r="B55">
        <v>0.38620900000000002</v>
      </c>
    </row>
    <row r="56" spans="1:2" x14ac:dyDescent="0.25">
      <c r="A56" t="s">
        <v>474</v>
      </c>
      <c r="B56">
        <v>0.88605599999999995</v>
      </c>
    </row>
    <row r="57" spans="1:2" x14ac:dyDescent="0.25">
      <c r="A57" t="s">
        <v>476</v>
      </c>
      <c r="B57">
        <v>2.0059330000000002</v>
      </c>
    </row>
    <row r="58" spans="1:2" x14ac:dyDescent="0.25">
      <c r="A58" t="s">
        <v>567</v>
      </c>
      <c r="B58">
        <v>0.15027499999999999</v>
      </c>
    </row>
    <row r="59" spans="1:2" x14ac:dyDescent="0.25">
      <c r="A59" t="s">
        <v>568</v>
      </c>
      <c r="B59">
        <v>1.8482160000000001</v>
      </c>
    </row>
    <row r="60" spans="1:2" x14ac:dyDescent="0.25">
      <c r="A60" t="s">
        <v>479</v>
      </c>
      <c r="B60">
        <v>0.18926200000000001</v>
      </c>
    </row>
    <row r="61" spans="1:2" x14ac:dyDescent="0.25">
      <c r="A61" t="s">
        <v>480</v>
      </c>
      <c r="B61">
        <v>2.915511</v>
      </c>
    </row>
    <row r="62" spans="1:2" x14ac:dyDescent="0.25">
      <c r="A62" t="s">
        <v>481</v>
      </c>
      <c r="B62">
        <v>-1.2433080000000001</v>
      </c>
    </row>
    <row r="63" spans="1:2" x14ac:dyDescent="0.25">
      <c r="A63" t="s">
        <v>569</v>
      </c>
      <c r="B63">
        <v>1.1369339999999999</v>
      </c>
    </row>
    <row r="64" spans="1:2" x14ac:dyDescent="0.25">
      <c r="A64" t="s">
        <v>570</v>
      </c>
      <c r="B64">
        <v>0.76200800000000002</v>
      </c>
    </row>
    <row r="65" spans="1:2" x14ac:dyDescent="0.25">
      <c r="A65" t="s">
        <v>488</v>
      </c>
      <c r="B65">
        <v>0.10284600000000001</v>
      </c>
    </row>
    <row r="66" spans="1:2" x14ac:dyDescent="0.25">
      <c r="A66" t="s">
        <v>501</v>
      </c>
      <c r="B66">
        <v>1.7912000000000001E-2</v>
      </c>
    </row>
    <row r="67" spans="1:2" x14ac:dyDescent="0.25">
      <c r="A67" t="s">
        <v>503</v>
      </c>
      <c r="B67">
        <v>1.7558000000000001E-2</v>
      </c>
    </row>
    <row r="68" spans="1:2" x14ac:dyDescent="0.25">
      <c r="A68" t="s">
        <v>514</v>
      </c>
      <c r="B68">
        <v>0.41864299999999999</v>
      </c>
    </row>
    <row r="69" spans="1:2" x14ac:dyDescent="0.25">
      <c r="A69" t="s">
        <v>515</v>
      </c>
      <c r="B69">
        <v>0.28681099999999998</v>
      </c>
    </row>
    <row r="70" spans="1:2" x14ac:dyDescent="0.25">
      <c r="A70" t="s">
        <v>456</v>
      </c>
      <c r="B70">
        <v>0.109582</v>
      </c>
    </row>
    <row r="71" spans="1:2" x14ac:dyDescent="0.25">
      <c r="A71" t="s">
        <v>519</v>
      </c>
      <c r="B71">
        <v>1.898434</v>
      </c>
    </row>
    <row r="72" spans="1:2" x14ac:dyDescent="0.25">
      <c r="A72" t="s">
        <v>520</v>
      </c>
      <c r="B72">
        <v>1.088627</v>
      </c>
    </row>
    <row r="73" spans="1:2" x14ac:dyDescent="0.25">
      <c r="A73" t="s">
        <v>335</v>
      </c>
      <c r="B73">
        <v>0.481568</v>
      </c>
    </row>
    <row r="74" spans="1:2" x14ac:dyDescent="0.25">
      <c r="A74" t="s">
        <v>549</v>
      </c>
      <c r="B74">
        <v>0.107401</v>
      </c>
    </row>
    <row r="75" spans="1:2" x14ac:dyDescent="0.25">
      <c r="A75" t="s">
        <v>550</v>
      </c>
      <c r="B75">
        <v>0.29857400000000001</v>
      </c>
    </row>
    <row r="76" spans="1:2" x14ac:dyDescent="0.25">
      <c r="A76" t="s">
        <v>341</v>
      </c>
      <c r="B76">
        <v>42.705899000000002</v>
      </c>
    </row>
    <row r="77" spans="1:2" x14ac:dyDescent="0.25">
      <c r="A77" t="s">
        <v>571</v>
      </c>
      <c r="B77">
        <v>20.257999000000002</v>
      </c>
    </row>
    <row r="78" spans="1:2" x14ac:dyDescent="0.25">
      <c r="A78" t="s">
        <v>392</v>
      </c>
      <c r="B78">
        <v>23.898895</v>
      </c>
    </row>
    <row r="79" spans="1:2" x14ac:dyDescent="0.25">
      <c r="A79" t="s">
        <v>423</v>
      </c>
      <c r="B79">
        <v>35.213270999999999</v>
      </c>
    </row>
    <row r="80" spans="1:2" x14ac:dyDescent="0.25">
      <c r="A80" t="s">
        <v>572</v>
      </c>
      <c r="B80">
        <v>16.218122999999999</v>
      </c>
    </row>
    <row r="81" spans="1:2" x14ac:dyDescent="0.25">
      <c r="A81" t="s">
        <v>573</v>
      </c>
      <c r="B81">
        <v>18.377137999999999</v>
      </c>
    </row>
    <row r="82" spans="1:2" x14ac:dyDescent="0.25">
      <c r="A82" t="s">
        <v>443</v>
      </c>
      <c r="B82">
        <v>33.857734999999998</v>
      </c>
    </row>
    <row r="83" spans="1:2" x14ac:dyDescent="0.25">
      <c r="A83" t="s">
        <v>464</v>
      </c>
      <c r="B83">
        <v>59.779294999999998</v>
      </c>
    </row>
    <row r="84" spans="1:2" x14ac:dyDescent="0.25">
      <c r="A84" t="s">
        <v>469</v>
      </c>
      <c r="B84">
        <v>35.465138000000003</v>
      </c>
    </row>
    <row r="85" spans="1:2" x14ac:dyDescent="0.25">
      <c r="A85" t="s">
        <v>483</v>
      </c>
      <c r="B85">
        <v>47.008378999999998</v>
      </c>
    </row>
    <row r="86" spans="1:2" x14ac:dyDescent="0.25">
      <c r="A86" t="s">
        <v>497</v>
      </c>
      <c r="B86">
        <v>30.921040999999999</v>
      </c>
    </row>
    <row r="87" spans="1:2" x14ac:dyDescent="0.25">
      <c r="A87" t="s">
        <v>499</v>
      </c>
      <c r="B87">
        <v>30.921040999999999</v>
      </c>
    </row>
    <row r="88" spans="1:2" x14ac:dyDescent="0.25">
      <c r="A88" t="s">
        <v>509</v>
      </c>
      <c r="B88">
        <v>28.627704999999999</v>
      </c>
    </row>
    <row r="89" spans="1:2" x14ac:dyDescent="0.25">
      <c r="A89" t="s">
        <v>524</v>
      </c>
      <c r="B89">
        <v>34.613652999999999</v>
      </c>
    </row>
    <row r="90" spans="1:2" x14ac:dyDescent="0.25">
      <c r="A90" t="s">
        <v>535</v>
      </c>
      <c r="B90">
        <v>43.370922</v>
      </c>
    </row>
    <row r="91" spans="1:2" x14ac:dyDescent="0.25">
      <c r="A91" t="s">
        <v>538</v>
      </c>
      <c r="B91">
        <v>43.753022000000001</v>
      </c>
    </row>
    <row r="92" spans="1:2" x14ac:dyDescent="0.25">
      <c r="A92" t="s">
        <v>545</v>
      </c>
      <c r="B92">
        <v>41.565849999999998</v>
      </c>
    </row>
    <row r="93" spans="1:2" x14ac:dyDescent="0.25">
      <c r="A93" t="s">
        <v>547</v>
      </c>
      <c r="B93">
        <v>30.004308000000002</v>
      </c>
    </row>
    <row r="94" spans="1:2" x14ac:dyDescent="0.25">
      <c r="A94" t="s">
        <v>492</v>
      </c>
      <c r="B94">
        <v>26.420532000000001</v>
      </c>
    </row>
    <row r="95" spans="1:2" x14ac:dyDescent="0.25">
      <c r="A95" t="s">
        <v>414</v>
      </c>
      <c r="B95">
        <v>24.685814000000001</v>
      </c>
    </row>
    <row r="96" spans="1:2" x14ac:dyDescent="0.25">
      <c r="A96" t="s">
        <v>439</v>
      </c>
      <c r="B96">
        <v>2.6903009999999998</v>
      </c>
    </row>
    <row r="97" spans="1:2" x14ac:dyDescent="0.25">
      <c r="A97" t="s">
        <v>540</v>
      </c>
      <c r="B97">
        <v>18.058931999999999</v>
      </c>
    </row>
    <row r="98" spans="1:2" x14ac:dyDescent="0.25">
      <c r="A98" t="s">
        <v>532</v>
      </c>
      <c r="B98">
        <v>18.058931999999999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BC61FC-559C-4F6C-9A63-3CF200CFE38F}">
  <dimension ref="A1:F255"/>
  <sheetViews>
    <sheetView workbookViewId="0">
      <selection activeCell="F3" sqref="F3"/>
    </sheetView>
  </sheetViews>
  <sheetFormatPr defaultColWidth="8.85546875" defaultRowHeight="15" x14ac:dyDescent="0.25"/>
  <cols>
    <col min="1" max="1" width="11.7109375" style="26" customWidth="1"/>
    <col min="2" max="2" width="52" style="26" customWidth="1"/>
    <col min="3" max="16384" width="8.85546875" style="26"/>
  </cols>
  <sheetData>
    <row r="1" spans="1:6" x14ac:dyDescent="0.25">
      <c r="A1" s="135" t="s">
        <v>294</v>
      </c>
      <c r="B1" s="136"/>
      <c r="C1" s="26" t="s">
        <v>293</v>
      </c>
    </row>
    <row r="2" spans="1:6" ht="15.75" thickBot="1" x14ac:dyDescent="0.3">
      <c r="A2" s="28" t="s">
        <v>292</v>
      </c>
      <c r="B2" s="28" t="s">
        <v>291</v>
      </c>
    </row>
    <row r="3" spans="1:6" ht="15.75" thickBot="1" x14ac:dyDescent="0.3">
      <c r="A3" s="26" t="s">
        <v>290</v>
      </c>
      <c r="B3" s="26">
        <v>1.1738999999999999</v>
      </c>
      <c r="E3" s="29" t="s">
        <v>295</v>
      </c>
      <c r="F3" s="30">
        <f>AVERAGE(B3:B255)</f>
        <v>1.1208762845849805</v>
      </c>
    </row>
    <row r="4" spans="1:6" x14ac:dyDescent="0.25">
      <c r="A4" s="26" t="s">
        <v>289</v>
      </c>
      <c r="B4" s="26">
        <v>1.1691</v>
      </c>
    </row>
    <row r="5" spans="1:6" x14ac:dyDescent="0.25">
      <c r="A5" s="26" t="s">
        <v>288</v>
      </c>
      <c r="B5" s="26">
        <v>1.1707000000000001</v>
      </c>
    </row>
    <row r="6" spans="1:6" x14ac:dyDescent="0.25">
      <c r="A6" s="26" t="s">
        <v>287</v>
      </c>
      <c r="B6" s="26">
        <v>1.1691</v>
      </c>
    </row>
    <row r="7" spans="1:6" x14ac:dyDescent="0.25">
      <c r="A7" s="26" t="s">
        <v>286</v>
      </c>
      <c r="B7" s="26">
        <v>1.1653</v>
      </c>
    </row>
    <row r="8" spans="1:6" x14ac:dyDescent="0.25">
      <c r="A8" s="26" t="s">
        <v>285</v>
      </c>
      <c r="B8" s="26">
        <v>1.1597999999999999</v>
      </c>
    </row>
    <row r="9" spans="1:6" x14ac:dyDescent="0.25">
      <c r="A9" s="26" t="s">
        <v>284</v>
      </c>
      <c r="B9" s="26">
        <v>1.1617999999999999</v>
      </c>
    </row>
    <row r="10" spans="1:6" x14ac:dyDescent="0.25">
      <c r="A10" s="26" t="s">
        <v>283</v>
      </c>
      <c r="B10" s="26">
        <v>1.1612</v>
      </c>
    </row>
    <row r="11" spans="1:6" x14ac:dyDescent="0.25">
      <c r="A11" s="26" t="s">
        <v>282</v>
      </c>
      <c r="B11" s="26">
        <v>1.1648000000000001</v>
      </c>
    </row>
    <row r="12" spans="1:6" x14ac:dyDescent="0.25">
      <c r="A12" s="26" t="s">
        <v>281</v>
      </c>
      <c r="B12" s="26">
        <v>1.1689000000000001</v>
      </c>
    </row>
    <row r="13" spans="1:6" x14ac:dyDescent="0.25">
      <c r="A13" s="26" t="s">
        <v>280</v>
      </c>
      <c r="B13" s="26">
        <v>1.1667000000000001</v>
      </c>
    </row>
    <row r="14" spans="1:6" x14ac:dyDescent="0.25">
      <c r="A14" s="26" t="s">
        <v>279</v>
      </c>
      <c r="B14" s="26">
        <v>1.1679999999999999</v>
      </c>
    </row>
    <row r="15" spans="1:6" x14ac:dyDescent="0.25">
      <c r="A15" s="26" t="s">
        <v>278</v>
      </c>
      <c r="B15" s="26">
        <v>1.1633</v>
      </c>
    </row>
    <row r="16" spans="1:6" x14ac:dyDescent="0.25">
      <c r="A16" s="26" t="s">
        <v>277</v>
      </c>
      <c r="B16" s="26">
        <v>1.1637999999999999</v>
      </c>
    </row>
    <row r="17" spans="1:2" x14ac:dyDescent="0.25">
      <c r="A17" s="26" t="s">
        <v>276</v>
      </c>
      <c r="B17" s="26">
        <v>1.1680999999999999</v>
      </c>
    </row>
    <row r="18" spans="1:2" x14ac:dyDescent="0.25">
      <c r="A18" s="26" t="s">
        <v>275</v>
      </c>
      <c r="B18" s="26">
        <v>1.1688000000000001</v>
      </c>
    </row>
    <row r="19" spans="1:2" x14ac:dyDescent="0.25">
      <c r="A19" s="26" t="s">
        <v>274</v>
      </c>
      <c r="B19" s="26">
        <v>1.1689000000000001</v>
      </c>
    </row>
    <row r="20" spans="1:2" x14ac:dyDescent="0.25">
      <c r="A20" s="26" t="s">
        <v>273</v>
      </c>
      <c r="B20" s="26">
        <v>1.1648000000000001</v>
      </c>
    </row>
    <row r="21" spans="1:2" x14ac:dyDescent="0.25">
      <c r="A21" s="26" t="s">
        <v>272</v>
      </c>
      <c r="B21" s="26">
        <v>1.1604000000000001</v>
      </c>
    </row>
    <row r="22" spans="1:2" x14ac:dyDescent="0.25">
      <c r="A22" s="26" t="s">
        <v>271</v>
      </c>
      <c r="B22" s="26">
        <v>1.1619999999999999</v>
      </c>
    </row>
    <row r="23" spans="1:2" x14ac:dyDescent="0.25">
      <c r="A23" s="26" t="s">
        <v>270</v>
      </c>
      <c r="B23" s="26">
        <v>1.1575</v>
      </c>
    </row>
    <row r="24" spans="1:2" x14ac:dyDescent="0.25">
      <c r="A24" s="26" t="s">
        <v>269</v>
      </c>
      <c r="B24" s="26">
        <v>1.1563000000000001</v>
      </c>
    </row>
    <row r="25" spans="1:2" x14ac:dyDescent="0.25">
      <c r="A25" s="26" t="s">
        <v>268</v>
      </c>
      <c r="B25" s="26">
        <v>1.1566000000000001</v>
      </c>
    </row>
    <row r="26" spans="1:2" x14ac:dyDescent="0.25">
      <c r="A26" s="26" t="s">
        <v>267</v>
      </c>
      <c r="B26" s="26">
        <v>1.1513</v>
      </c>
    </row>
    <row r="27" spans="1:2" x14ac:dyDescent="0.25">
      <c r="A27" s="26" t="s">
        <v>266</v>
      </c>
      <c r="B27" s="26">
        <v>1.1565000000000001</v>
      </c>
    </row>
    <row r="28" spans="1:2" x14ac:dyDescent="0.25">
      <c r="A28" s="26" t="s">
        <v>265</v>
      </c>
      <c r="B28" s="26">
        <v>1.1633</v>
      </c>
    </row>
    <row r="29" spans="1:2" x14ac:dyDescent="0.25">
      <c r="A29" s="26" t="s">
        <v>264</v>
      </c>
      <c r="B29" s="27">
        <v>1.1599999999999999</v>
      </c>
    </row>
    <row r="30" spans="1:2" x14ac:dyDescent="0.25">
      <c r="A30" s="26" t="s">
        <v>263</v>
      </c>
      <c r="B30" s="26">
        <v>1.1577</v>
      </c>
    </row>
    <row r="31" spans="1:2" x14ac:dyDescent="0.25">
      <c r="A31" s="26" t="s">
        <v>262</v>
      </c>
      <c r="B31" s="26">
        <v>1.1552</v>
      </c>
    </row>
    <row r="32" spans="1:2" x14ac:dyDescent="0.25">
      <c r="A32" s="26" t="s">
        <v>261</v>
      </c>
      <c r="B32" s="26">
        <v>1.1553</v>
      </c>
    </row>
    <row r="33" spans="1:2" x14ac:dyDescent="0.25">
      <c r="A33" s="26" t="s">
        <v>260</v>
      </c>
      <c r="B33" s="26">
        <v>1.1513</v>
      </c>
    </row>
    <row r="34" spans="1:2" x14ac:dyDescent="0.25">
      <c r="A34" s="26" t="s">
        <v>259</v>
      </c>
      <c r="B34" s="26">
        <v>1.1492</v>
      </c>
    </row>
    <row r="35" spans="1:2" x14ac:dyDescent="0.25">
      <c r="A35" s="26" t="s">
        <v>258</v>
      </c>
      <c r="B35" s="26">
        <v>1.1467000000000001</v>
      </c>
    </row>
    <row r="36" spans="1:2" x14ac:dyDescent="0.25">
      <c r="A36" s="26" t="s">
        <v>257</v>
      </c>
      <c r="B36" s="26">
        <v>1.1427</v>
      </c>
    </row>
    <row r="37" spans="1:2" x14ac:dyDescent="0.25">
      <c r="A37" s="26" t="s">
        <v>256</v>
      </c>
      <c r="B37" s="26">
        <v>1.1400999999999999</v>
      </c>
    </row>
    <row r="38" spans="1:2" x14ac:dyDescent="0.25">
      <c r="A38" s="26" t="s">
        <v>255</v>
      </c>
      <c r="B38" s="26">
        <v>1.1413</v>
      </c>
    </row>
    <row r="39" spans="1:2" x14ac:dyDescent="0.25">
      <c r="A39" s="26" t="s">
        <v>254</v>
      </c>
      <c r="B39" s="26">
        <v>1.1404000000000001</v>
      </c>
    </row>
    <row r="40" spans="1:2" x14ac:dyDescent="0.25">
      <c r="A40" s="26" t="s">
        <v>253</v>
      </c>
      <c r="B40" s="26">
        <v>1.1405000000000001</v>
      </c>
    </row>
    <row r="41" spans="1:2" x14ac:dyDescent="0.25">
      <c r="A41" s="26" t="s">
        <v>252</v>
      </c>
      <c r="B41" s="26">
        <v>1.1414</v>
      </c>
    </row>
    <row r="42" spans="1:2" x14ac:dyDescent="0.25">
      <c r="A42" s="26" t="s">
        <v>251</v>
      </c>
      <c r="B42" s="26">
        <v>1.1402000000000001</v>
      </c>
    </row>
    <row r="43" spans="1:2" x14ac:dyDescent="0.25">
      <c r="A43" s="26" t="s">
        <v>250</v>
      </c>
      <c r="B43" s="26">
        <v>1.1359999999999999</v>
      </c>
    </row>
    <row r="44" spans="1:2" x14ac:dyDescent="0.25">
      <c r="A44" s="26" t="s">
        <v>249</v>
      </c>
      <c r="B44" s="26">
        <v>1.1331</v>
      </c>
    </row>
    <row r="45" spans="1:2" x14ac:dyDescent="0.25">
      <c r="A45" s="26" t="s">
        <v>248</v>
      </c>
      <c r="B45" s="26">
        <v>1.1308</v>
      </c>
    </row>
    <row r="46" spans="1:2" x14ac:dyDescent="0.25">
      <c r="A46" s="26" t="s">
        <v>247</v>
      </c>
      <c r="B46" s="27">
        <v>1.1299999999999999</v>
      </c>
    </row>
    <row r="47" spans="1:2" x14ac:dyDescent="0.25">
      <c r="A47" s="26" t="s">
        <v>246</v>
      </c>
      <c r="B47" s="26">
        <v>1.1316999999999999</v>
      </c>
    </row>
    <row r="48" spans="1:2" x14ac:dyDescent="0.25">
      <c r="A48" s="26" t="s">
        <v>245</v>
      </c>
      <c r="B48" s="26">
        <v>1.1335</v>
      </c>
    </row>
    <row r="49" spans="1:2" x14ac:dyDescent="0.25">
      <c r="A49" s="26" t="s">
        <v>244</v>
      </c>
      <c r="B49" s="26">
        <v>1.1294</v>
      </c>
    </row>
    <row r="50" spans="1:2" x14ac:dyDescent="0.25">
      <c r="A50" s="26" t="s">
        <v>243</v>
      </c>
      <c r="B50" s="26">
        <v>1.127</v>
      </c>
    </row>
    <row r="51" spans="1:2" x14ac:dyDescent="0.25">
      <c r="A51" s="26" t="s">
        <v>242</v>
      </c>
      <c r="B51" s="26">
        <v>1.123</v>
      </c>
    </row>
    <row r="52" spans="1:2" x14ac:dyDescent="0.25">
      <c r="A52" s="26" t="s">
        <v>241</v>
      </c>
      <c r="B52" s="26">
        <v>1.1298999999999999</v>
      </c>
    </row>
    <row r="53" spans="1:2" x14ac:dyDescent="0.25">
      <c r="A53" s="26" t="s">
        <v>240</v>
      </c>
      <c r="B53" s="26">
        <v>1.1258999999999999</v>
      </c>
    </row>
    <row r="54" spans="1:2" x14ac:dyDescent="0.25">
      <c r="A54" s="26" t="s">
        <v>239</v>
      </c>
      <c r="B54" s="26">
        <v>1.1228</v>
      </c>
    </row>
    <row r="55" spans="1:2" x14ac:dyDescent="0.25">
      <c r="A55" s="26" t="s">
        <v>238</v>
      </c>
      <c r="B55" s="26">
        <v>1.1242000000000001</v>
      </c>
    </row>
    <row r="56" spans="1:2" x14ac:dyDescent="0.25">
      <c r="A56" s="26" t="s">
        <v>237</v>
      </c>
      <c r="B56" s="26">
        <v>1.1234</v>
      </c>
    </row>
    <row r="57" spans="1:2" x14ac:dyDescent="0.25">
      <c r="A57" s="26" t="s">
        <v>236</v>
      </c>
      <c r="B57" s="26">
        <v>1.1272</v>
      </c>
    </row>
    <row r="58" spans="1:2" x14ac:dyDescent="0.25">
      <c r="A58" s="26" t="s">
        <v>235</v>
      </c>
      <c r="B58" s="26">
        <v>1.121</v>
      </c>
    </row>
    <row r="59" spans="1:2" x14ac:dyDescent="0.25">
      <c r="A59" s="26" t="s">
        <v>234</v>
      </c>
      <c r="B59" s="26">
        <v>1.1202000000000001</v>
      </c>
    </row>
    <row r="60" spans="1:2" x14ac:dyDescent="0.25">
      <c r="A60" s="26" t="s">
        <v>233</v>
      </c>
      <c r="B60" s="26">
        <v>1.1103000000000001</v>
      </c>
    </row>
    <row r="61" spans="1:2" x14ac:dyDescent="0.25">
      <c r="A61" s="26" t="s">
        <v>232</v>
      </c>
      <c r="B61" s="26">
        <v>1.1088</v>
      </c>
    </row>
    <row r="62" spans="1:2" x14ac:dyDescent="0.25">
      <c r="A62" s="26" t="s">
        <v>231</v>
      </c>
      <c r="B62" s="26">
        <v>1.1048</v>
      </c>
    </row>
    <row r="63" spans="1:2" x14ac:dyDescent="0.25">
      <c r="A63" s="26" t="s">
        <v>230</v>
      </c>
      <c r="B63" s="26">
        <v>1.1032</v>
      </c>
    </row>
    <row r="64" spans="1:2" x14ac:dyDescent="0.25">
      <c r="A64" s="26" t="s">
        <v>229</v>
      </c>
      <c r="B64" s="26">
        <v>1.1073999999999999</v>
      </c>
    </row>
    <row r="65" spans="1:2" x14ac:dyDescent="0.25">
      <c r="A65" s="26" t="s">
        <v>228</v>
      </c>
      <c r="B65" s="26">
        <v>1.1065</v>
      </c>
    </row>
    <row r="66" spans="1:2" x14ac:dyDescent="0.25">
      <c r="A66" s="26" t="s">
        <v>227</v>
      </c>
      <c r="B66" s="26">
        <v>1.1117999999999999</v>
      </c>
    </row>
    <row r="67" spans="1:2" x14ac:dyDescent="0.25">
      <c r="A67" s="26" t="s">
        <v>226</v>
      </c>
      <c r="B67" s="26">
        <v>1.1063000000000001</v>
      </c>
    </row>
    <row r="68" spans="1:2" x14ac:dyDescent="0.25">
      <c r="A68" s="26" t="s">
        <v>225</v>
      </c>
      <c r="B68" s="26">
        <v>1.1022000000000001</v>
      </c>
    </row>
    <row r="69" spans="1:2" x14ac:dyDescent="0.25">
      <c r="A69" s="26" t="s">
        <v>224</v>
      </c>
      <c r="B69" s="26">
        <v>1.1142000000000001</v>
      </c>
    </row>
    <row r="70" spans="1:2" x14ac:dyDescent="0.25">
      <c r="A70" s="26" t="s">
        <v>223</v>
      </c>
      <c r="B70" s="26">
        <v>1.1094999999999999</v>
      </c>
    </row>
    <row r="71" spans="1:2" x14ac:dyDescent="0.25">
      <c r="A71" s="26" t="s">
        <v>222</v>
      </c>
      <c r="B71" s="26">
        <v>1.0945</v>
      </c>
    </row>
    <row r="72" spans="1:2" x14ac:dyDescent="0.25">
      <c r="A72" s="26" t="s">
        <v>221</v>
      </c>
      <c r="B72" s="26">
        <v>1.0902000000000001</v>
      </c>
    </row>
    <row r="73" spans="1:2" x14ac:dyDescent="0.25">
      <c r="A73" s="26" t="s">
        <v>220</v>
      </c>
      <c r="B73" s="26">
        <v>1.1022000000000001</v>
      </c>
    </row>
    <row r="74" spans="1:2" x14ac:dyDescent="0.25">
      <c r="A74" s="26" t="s">
        <v>219</v>
      </c>
      <c r="B74" s="26">
        <v>1.1097999999999999</v>
      </c>
    </row>
    <row r="75" spans="1:2" x14ac:dyDescent="0.25">
      <c r="A75" s="26" t="s">
        <v>218</v>
      </c>
      <c r="B75" s="26">
        <v>1.1073</v>
      </c>
    </row>
    <row r="76" spans="1:2" x14ac:dyDescent="0.25">
      <c r="A76" s="26" t="s">
        <v>217</v>
      </c>
      <c r="B76" s="26">
        <v>1.1060000000000001</v>
      </c>
    </row>
    <row r="77" spans="1:2" x14ac:dyDescent="0.25">
      <c r="A77" s="26" t="s">
        <v>216</v>
      </c>
      <c r="B77" s="26">
        <v>1.0991</v>
      </c>
    </row>
    <row r="78" spans="1:2" x14ac:dyDescent="0.25">
      <c r="A78" s="26" t="s">
        <v>215</v>
      </c>
      <c r="B78" s="26">
        <v>1.0915999999999999</v>
      </c>
    </row>
    <row r="79" spans="1:2" x14ac:dyDescent="0.25">
      <c r="A79" s="26" t="s">
        <v>214</v>
      </c>
      <c r="B79" s="26">
        <v>1.0946</v>
      </c>
    </row>
    <row r="80" spans="1:2" x14ac:dyDescent="0.25">
      <c r="A80" s="26" t="s">
        <v>213</v>
      </c>
      <c r="B80" s="26">
        <v>1.1088</v>
      </c>
    </row>
    <row r="81" spans="1:2" x14ac:dyDescent="0.25">
      <c r="A81" s="26" t="s">
        <v>212</v>
      </c>
      <c r="B81" s="26">
        <v>1.103</v>
      </c>
    </row>
    <row r="82" spans="1:2" x14ac:dyDescent="0.25">
      <c r="A82" s="26" t="s">
        <v>211</v>
      </c>
      <c r="B82" s="26">
        <v>1.0972</v>
      </c>
    </row>
    <row r="83" spans="1:2" x14ac:dyDescent="0.25">
      <c r="A83" s="26" t="s">
        <v>210</v>
      </c>
      <c r="B83" s="26">
        <v>1.1097999999999999</v>
      </c>
    </row>
    <row r="84" spans="1:2" x14ac:dyDescent="0.25">
      <c r="A84" s="26" t="s">
        <v>209</v>
      </c>
      <c r="B84" s="27">
        <v>1.1100000000000001</v>
      </c>
    </row>
    <row r="85" spans="1:2" x14ac:dyDescent="0.25">
      <c r="A85" s="26" t="s">
        <v>208</v>
      </c>
      <c r="B85" s="26">
        <v>1.1032</v>
      </c>
    </row>
    <row r="86" spans="1:2" x14ac:dyDescent="0.25">
      <c r="A86" s="26" t="s">
        <v>207</v>
      </c>
      <c r="B86" s="26">
        <v>1.1104000000000001</v>
      </c>
    </row>
    <row r="87" spans="1:2" x14ac:dyDescent="0.25">
      <c r="A87" s="26" t="s">
        <v>206</v>
      </c>
      <c r="B87" s="26">
        <v>1.1160000000000001</v>
      </c>
    </row>
    <row r="88" spans="1:2" x14ac:dyDescent="0.25">
      <c r="A88" s="26" t="s">
        <v>205</v>
      </c>
      <c r="B88" s="26">
        <v>1.1171</v>
      </c>
    </row>
    <row r="89" spans="1:2" x14ac:dyDescent="0.25">
      <c r="A89" s="26" t="s">
        <v>204</v>
      </c>
      <c r="B89" s="26">
        <v>1.1197999999999999</v>
      </c>
    </row>
    <row r="90" spans="1:2" x14ac:dyDescent="0.25">
      <c r="A90" s="26" t="s">
        <v>203</v>
      </c>
      <c r="B90" s="26">
        <v>1.1241000000000001</v>
      </c>
    </row>
    <row r="91" spans="1:2" x14ac:dyDescent="0.25">
      <c r="A91" s="26" t="s">
        <v>202</v>
      </c>
      <c r="B91" s="26">
        <v>1.1247</v>
      </c>
    </row>
    <row r="92" spans="1:2" x14ac:dyDescent="0.25">
      <c r="A92" s="26" t="s">
        <v>201</v>
      </c>
      <c r="B92" s="26">
        <v>1.125</v>
      </c>
    </row>
    <row r="93" spans="1:2" x14ac:dyDescent="0.25">
      <c r="A93" s="26" t="s">
        <v>200</v>
      </c>
      <c r="B93" s="26">
        <v>1.1207</v>
      </c>
    </row>
    <row r="94" spans="1:2" x14ac:dyDescent="0.25">
      <c r="A94" s="26" t="s">
        <v>199</v>
      </c>
      <c r="B94" s="26">
        <v>1.1171</v>
      </c>
    </row>
    <row r="95" spans="1:2" x14ac:dyDescent="0.25">
      <c r="A95" s="26" t="s">
        <v>198</v>
      </c>
      <c r="B95" s="26">
        <v>1.1201000000000001</v>
      </c>
    </row>
    <row r="96" spans="1:2" x14ac:dyDescent="0.25">
      <c r="A96" s="26" t="s">
        <v>197</v>
      </c>
      <c r="B96" s="26">
        <v>1.1165</v>
      </c>
    </row>
    <row r="97" spans="1:2" x14ac:dyDescent="0.25">
      <c r="A97" s="26" t="s">
        <v>196</v>
      </c>
      <c r="B97" s="26">
        <v>1.1132</v>
      </c>
    </row>
    <row r="98" spans="1:2" x14ac:dyDescent="0.25">
      <c r="A98" s="26" t="s">
        <v>195</v>
      </c>
      <c r="B98" s="26">
        <v>1.1133</v>
      </c>
    </row>
    <row r="99" spans="1:2" x14ac:dyDescent="0.25">
      <c r="A99" s="26" t="s">
        <v>194</v>
      </c>
      <c r="B99" s="26">
        <v>1.1116999999999999</v>
      </c>
    </row>
    <row r="100" spans="1:2" x14ac:dyDescent="0.25">
      <c r="A100" s="26" t="s">
        <v>193</v>
      </c>
      <c r="B100" s="26">
        <v>1.1224000000000001</v>
      </c>
    </row>
    <row r="101" spans="1:2" x14ac:dyDescent="0.25">
      <c r="A101" s="26" t="s">
        <v>192</v>
      </c>
      <c r="B101" s="26">
        <v>1.1208</v>
      </c>
    </row>
    <row r="102" spans="1:2" x14ac:dyDescent="0.25">
      <c r="A102" s="26" t="s">
        <v>191</v>
      </c>
      <c r="B102" s="26">
        <v>1.1117999999999999</v>
      </c>
    </row>
    <row r="103" spans="1:2" x14ac:dyDescent="0.25">
      <c r="A103" s="26" t="s">
        <v>190</v>
      </c>
      <c r="B103" s="26">
        <v>1.1079000000000001</v>
      </c>
    </row>
    <row r="104" spans="1:2" x14ac:dyDescent="0.25">
      <c r="A104" s="26" t="s">
        <v>189</v>
      </c>
      <c r="B104" s="26">
        <v>1.1088</v>
      </c>
    </row>
    <row r="105" spans="1:2" x14ac:dyDescent="0.25">
      <c r="A105" s="26" t="s">
        <v>188</v>
      </c>
      <c r="B105" s="26">
        <v>1.1094999999999999</v>
      </c>
    </row>
    <row r="106" spans="1:2" x14ac:dyDescent="0.25">
      <c r="A106" s="26" t="s">
        <v>187</v>
      </c>
      <c r="B106" s="26">
        <v>1.1140000000000001</v>
      </c>
    </row>
    <row r="107" spans="1:2" x14ac:dyDescent="0.25">
      <c r="A107" s="26" t="s">
        <v>186</v>
      </c>
      <c r="B107" s="26">
        <v>1.1092</v>
      </c>
    </row>
    <row r="108" spans="1:2" x14ac:dyDescent="0.25">
      <c r="A108" s="26" t="s">
        <v>185</v>
      </c>
      <c r="B108" s="26">
        <v>1.1104000000000001</v>
      </c>
    </row>
    <row r="109" spans="1:2" x14ac:dyDescent="0.25">
      <c r="A109" s="26" t="s">
        <v>184</v>
      </c>
      <c r="B109" s="26">
        <v>1.1068</v>
      </c>
    </row>
    <row r="110" spans="1:2" x14ac:dyDescent="0.25">
      <c r="A110" s="26" t="s">
        <v>183</v>
      </c>
      <c r="B110" s="26">
        <v>1.1057999999999999</v>
      </c>
    </row>
    <row r="111" spans="1:2" x14ac:dyDescent="0.25">
      <c r="A111" s="26" t="s">
        <v>182</v>
      </c>
      <c r="B111" s="26">
        <v>1.1043000000000001</v>
      </c>
    </row>
    <row r="112" spans="1:2" x14ac:dyDescent="0.25">
      <c r="A112" s="26" t="s">
        <v>181</v>
      </c>
      <c r="B112" s="26">
        <v>1.1019000000000001</v>
      </c>
    </row>
    <row r="113" spans="1:2" x14ac:dyDescent="0.25">
      <c r="A113" s="26" t="s">
        <v>180</v>
      </c>
      <c r="B113" s="26">
        <v>1.1022000000000001</v>
      </c>
    </row>
    <row r="114" spans="1:2" x14ac:dyDescent="0.25">
      <c r="A114" s="26" t="s">
        <v>179</v>
      </c>
      <c r="B114" s="26">
        <v>1.1072</v>
      </c>
    </row>
    <row r="115" spans="1:2" x14ac:dyDescent="0.25">
      <c r="A115" s="26" t="s">
        <v>178</v>
      </c>
      <c r="B115" s="26">
        <v>1.1085</v>
      </c>
    </row>
    <row r="116" spans="1:2" x14ac:dyDescent="0.25">
      <c r="A116" s="26" t="s">
        <v>177</v>
      </c>
      <c r="B116" s="26">
        <v>1.0954999999999999</v>
      </c>
    </row>
    <row r="117" spans="1:2" x14ac:dyDescent="0.25">
      <c r="A117" s="26" t="s">
        <v>176</v>
      </c>
      <c r="B117" s="26">
        <v>1.1031</v>
      </c>
    </row>
    <row r="118" spans="1:2" x14ac:dyDescent="0.25">
      <c r="A118" s="26" t="s">
        <v>175</v>
      </c>
      <c r="B118" s="26">
        <v>1.1032999999999999</v>
      </c>
    </row>
    <row r="119" spans="1:2" x14ac:dyDescent="0.25">
      <c r="A119" s="26" t="s">
        <v>174</v>
      </c>
      <c r="B119" s="26">
        <v>1.1031</v>
      </c>
    </row>
    <row r="120" spans="1:2" x14ac:dyDescent="0.25">
      <c r="A120" s="26" t="s">
        <v>173</v>
      </c>
      <c r="B120" s="26">
        <v>1.1091</v>
      </c>
    </row>
    <row r="121" spans="1:2" x14ac:dyDescent="0.25">
      <c r="A121" s="26" t="s">
        <v>172</v>
      </c>
      <c r="B121" s="26">
        <v>1.1056999999999999</v>
      </c>
    </row>
    <row r="122" spans="1:2" x14ac:dyDescent="0.25">
      <c r="A122" s="26" t="s">
        <v>171</v>
      </c>
      <c r="B122" s="26">
        <v>1.1064000000000001</v>
      </c>
    </row>
    <row r="123" spans="1:2" x14ac:dyDescent="0.25">
      <c r="A123" s="26" t="s">
        <v>170</v>
      </c>
      <c r="B123" s="26">
        <v>1.0999000000000001</v>
      </c>
    </row>
    <row r="124" spans="1:2" x14ac:dyDescent="0.25">
      <c r="A124" s="26" t="s">
        <v>169</v>
      </c>
      <c r="B124" s="26">
        <v>1.1004</v>
      </c>
    </row>
    <row r="125" spans="1:2" x14ac:dyDescent="0.25">
      <c r="A125" s="26" t="s">
        <v>168</v>
      </c>
      <c r="B125" s="26">
        <v>1.0964</v>
      </c>
    </row>
    <row r="126" spans="1:2" x14ac:dyDescent="0.25">
      <c r="A126" s="26" t="s">
        <v>167</v>
      </c>
      <c r="B126" s="26">
        <v>1.0996999999999999</v>
      </c>
    </row>
    <row r="127" spans="1:2" x14ac:dyDescent="0.25">
      <c r="A127" s="26" t="s">
        <v>166</v>
      </c>
      <c r="B127" s="26">
        <v>1.1003000000000001</v>
      </c>
    </row>
    <row r="128" spans="1:2" x14ac:dyDescent="0.25">
      <c r="A128" s="26" t="s">
        <v>165</v>
      </c>
      <c r="B128" s="26">
        <v>1.1039000000000001</v>
      </c>
    </row>
    <row r="129" spans="1:2" x14ac:dyDescent="0.25">
      <c r="A129" s="26" t="s">
        <v>164</v>
      </c>
      <c r="B129" s="26">
        <v>1.0964</v>
      </c>
    </row>
    <row r="130" spans="1:2" x14ac:dyDescent="0.25">
      <c r="A130" s="26" t="s">
        <v>163</v>
      </c>
      <c r="B130" s="26">
        <v>1.1023000000000001</v>
      </c>
    </row>
    <row r="131" spans="1:2" x14ac:dyDescent="0.25">
      <c r="A131" s="26" t="s">
        <v>162</v>
      </c>
      <c r="B131" s="26">
        <v>1.0947</v>
      </c>
    </row>
    <row r="132" spans="1:2" x14ac:dyDescent="0.25">
      <c r="A132" s="26" t="s">
        <v>161</v>
      </c>
      <c r="B132" s="26">
        <v>1.1029</v>
      </c>
    </row>
    <row r="133" spans="1:2" x14ac:dyDescent="0.25">
      <c r="A133" s="26" t="s">
        <v>160</v>
      </c>
      <c r="B133" s="26">
        <v>1.0934999999999999</v>
      </c>
    </row>
    <row r="134" spans="1:2" x14ac:dyDescent="0.25">
      <c r="A134" s="26" t="s">
        <v>159</v>
      </c>
      <c r="B134" s="26">
        <v>1.0923</v>
      </c>
    </row>
    <row r="135" spans="1:2" x14ac:dyDescent="0.25">
      <c r="A135" s="26" t="s">
        <v>158</v>
      </c>
      <c r="B135" s="26">
        <v>1.0938000000000001</v>
      </c>
    </row>
    <row r="136" spans="1:2" x14ac:dyDescent="0.25">
      <c r="A136" s="26" t="s">
        <v>157</v>
      </c>
      <c r="B136" s="26">
        <v>1.0868</v>
      </c>
    </row>
    <row r="137" spans="1:2" x14ac:dyDescent="0.25">
      <c r="A137" s="26" t="s">
        <v>156</v>
      </c>
      <c r="B137" s="26">
        <v>1.0895999999999999</v>
      </c>
    </row>
    <row r="138" spans="1:2" x14ac:dyDescent="0.25">
      <c r="A138" s="26" t="s">
        <v>155</v>
      </c>
      <c r="B138" s="26">
        <v>1.0928</v>
      </c>
    </row>
    <row r="139" spans="1:2" x14ac:dyDescent="0.25">
      <c r="A139" s="26" t="s">
        <v>154</v>
      </c>
      <c r="B139" s="26">
        <v>1.0953999999999999</v>
      </c>
    </row>
    <row r="140" spans="1:2" x14ac:dyDescent="0.25">
      <c r="A140" s="26" t="s">
        <v>153</v>
      </c>
      <c r="B140" s="26">
        <v>1.0980000000000001</v>
      </c>
    </row>
    <row r="141" spans="1:2" x14ac:dyDescent="0.25">
      <c r="A141" s="26" t="s">
        <v>152</v>
      </c>
      <c r="B141" s="26">
        <v>1.0846</v>
      </c>
    </row>
    <row r="142" spans="1:2" x14ac:dyDescent="0.25">
      <c r="A142" s="26" t="s">
        <v>151</v>
      </c>
      <c r="B142" s="26">
        <v>1.0851999999999999</v>
      </c>
    </row>
    <row r="143" spans="1:2" x14ac:dyDescent="0.25">
      <c r="A143" s="26" t="s">
        <v>150</v>
      </c>
      <c r="B143" s="26">
        <v>1.0805</v>
      </c>
    </row>
    <row r="144" spans="1:2" x14ac:dyDescent="0.25">
      <c r="A144" s="26" t="s">
        <v>149</v>
      </c>
      <c r="B144" s="26">
        <v>1.0837000000000001</v>
      </c>
    </row>
    <row r="145" spans="1:2" x14ac:dyDescent="0.25">
      <c r="A145" s="26" t="s">
        <v>148</v>
      </c>
      <c r="B145" s="26">
        <v>1.1006</v>
      </c>
    </row>
    <row r="146" spans="1:2" x14ac:dyDescent="0.25">
      <c r="A146" s="26" t="s">
        <v>147</v>
      </c>
      <c r="B146" s="26">
        <v>1.1044</v>
      </c>
    </row>
    <row r="147" spans="1:2" x14ac:dyDescent="0.25">
      <c r="A147" s="26" t="s">
        <v>146</v>
      </c>
      <c r="B147" s="26">
        <v>1.1142000000000001</v>
      </c>
    </row>
    <row r="148" spans="1:2" x14ac:dyDescent="0.25">
      <c r="A148" s="26" t="s">
        <v>145</v>
      </c>
      <c r="B148" s="26">
        <v>1.1196999999999999</v>
      </c>
    </row>
    <row r="149" spans="1:2" x14ac:dyDescent="0.25">
      <c r="A149" s="26" t="s">
        <v>144</v>
      </c>
      <c r="B149" s="26">
        <v>1.1214999999999999</v>
      </c>
    </row>
    <row r="150" spans="1:2" x14ac:dyDescent="0.25">
      <c r="A150" s="26" t="s">
        <v>143</v>
      </c>
      <c r="B150" s="26">
        <v>1.1235999999999999</v>
      </c>
    </row>
    <row r="151" spans="1:2" x14ac:dyDescent="0.25">
      <c r="A151" s="26" t="s">
        <v>142</v>
      </c>
      <c r="B151" s="26">
        <v>1.1248</v>
      </c>
    </row>
    <row r="152" spans="1:2" x14ac:dyDescent="0.25">
      <c r="A152" s="26" t="s">
        <v>141</v>
      </c>
      <c r="B152" s="26">
        <v>1.1205000000000001</v>
      </c>
    </row>
    <row r="153" spans="1:2" x14ac:dyDescent="0.25">
      <c r="A153" s="26" t="s">
        <v>140</v>
      </c>
      <c r="B153" s="26">
        <v>1.1188</v>
      </c>
    </row>
    <row r="154" spans="1:2" x14ac:dyDescent="0.25">
      <c r="A154" s="26" t="s">
        <v>139</v>
      </c>
      <c r="B154" s="26">
        <v>1.1163000000000001</v>
      </c>
    </row>
    <row r="155" spans="1:2" x14ac:dyDescent="0.25">
      <c r="A155" s="26" t="s">
        <v>138</v>
      </c>
      <c r="B155" s="26">
        <v>1.1094999999999999</v>
      </c>
    </row>
    <row r="156" spans="1:2" x14ac:dyDescent="0.25">
      <c r="A156" s="26" t="s">
        <v>137</v>
      </c>
      <c r="B156" s="26">
        <v>1.1064000000000001</v>
      </c>
    </row>
    <row r="157" spans="1:2" x14ac:dyDescent="0.25">
      <c r="A157" s="26" t="s">
        <v>136</v>
      </c>
      <c r="B157" s="26">
        <v>1.1097999999999999</v>
      </c>
    </row>
    <row r="158" spans="1:2" x14ac:dyDescent="0.25">
      <c r="A158" s="26" t="s">
        <v>135</v>
      </c>
      <c r="B158" s="26">
        <v>1.1099000000000001</v>
      </c>
    </row>
    <row r="159" spans="1:2" x14ac:dyDescent="0.25">
      <c r="A159" s="26" t="s">
        <v>134</v>
      </c>
      <c r="B159" s="26">
        <v>1.1081000000000001</v>
      </c>
    </row>
    <row r="160" spans="1:2" x14ac:dyDescent="0.25">
      <c r="A160" s="26" t="s">
        <v>133</v>
      </c>
      <c r="B160" s="26">
        <v>1.1093</v>
      </c>
    </row>
    <row r="161" spans="1:2" x14ac:dyDescent="0.25">
      <c r="A161" s="26" t="s">
        <v>132</v>
      </c>
      <c r="B161" s="26">
        <v>1.1037999999999999</v>
      </c>
    </row>
    <row r="162" spans="1:2" x14ac:dyDescent="0.25">
      <c r="A162" s="26" t="s">
        <v>131</v>
      </c>
      <c r="B162" s="26">
        <v>1.1083000000000001</v>
      </c>
    </row>
    <row r="163" spans="1:2" x14ac:dyDescent="0.25">
      <c r="A163" s="26" t="s">
        <v>130</v>
      </c>
      <c r="B163" s="26">
        <v>1.1061000000000001</v>
      </c>
    </row>
    <row r="164" spans="1:2" x14ac:dyDescent="0.25">
      <c r="A164" s="26" t="s">
        <v>129</v>
      </c>
      <c r="B164" s="26">
        <v>1.1061000000000001</v>
      </c>
    </row>
    <row r="165" spans="1:2" x14ac:dyDescent="0.25">
      <c r="A165" s="26" t="s">
        <v>128</v>
      </c>
      <c r="B165" s="26">
        <v>1.1124000000000001</v>
      </c>
    </row>
    <row r="166" spans="1:2" x14ac:dyDescent="0.25">
      <c r="A166" s="26" t="s">
        <v>127</v>
      </c>
      <c r="B166" s="26">
        <v>1.1124000000000001</v>
      </c>
    </row>
    <row r="167" spans="1:2" x14ac:dyDescent="0.25">
      <c r="A167" s="26" t="s">
        <v>126</v>
      </c>
      <c r="B167" s="26">
        <v>1.1071</v>
      </c>
    </row>
    <row r="168" spans="1:2" x14ac:dyDescent="0.25">
      <c r="A168" s="26" t="s">
        <v>125</v>
      </c>
      <c r="B168" s="26">
        <v>1.1091</v>
      </c>
    </row>
    <row r="169" spans="1:2" x14ac:dyDescent="0.25">
      <c r="A169" s="26" t="s">
        <v>124</v>
      </c>
      <c r="B169" s="26">
        <v>1.1059000000000001</v>
      </c>
    </row>
    <row r="170" spans="1:2" x14ac:dyDescent="0.25">
      <c r="A170" s="26" t="s">
        <v>123</v>
      </c>
      <c r="B170" s="26">
        <v>1.1106</v>
      </c>
    </row>
    <row r="171" spans="1:2" x14ac:dyDescent="0.25">
      <c r="A171" s="26" t="s">
        <v>122</v>
      </c>
      <c r="B171" s="26">
        <v>1.1104000000000001</v>
      </c>
    </row>
    <row r="172" spans="1:2" x14ac:dyDescent="0.25">
      <c r="A172" s="26" t="s">
        <v>121</v>
      </c>
      <c r="B172" s="26">
        <v>1.1095999999999999</v>
      </c>
    </row>
    <row r="173" spans="1:2" x14ac:dyDescent="0.25">
      <c r="A173" s="26" t="s">
        <v>120</v>
      </c>
      <c r="B173" s="26">
        <v>1.1063000000000001</v>
      </c>
    </row>
    <row r="174" spans="1:2" x14ac:dyDescent="0.25">
      <c r="A174" s="26" t="s">
        <v>119</v>
      </c>
      <c r="B174" s="26">
        <v>1.1011</v>
      </c>
    </row>
    <row r="175" spans="1:2" x14ac:dyDescent="0.25">
      <c r="A175" s="26" t="s">
        <v>118</v>
      </c>
      <c r="B175" s="26">
        <v>1.1037999999999999</v>
      </c>
    </row>
    <row r="176" spans="1:2" x14ac:dyDescent="0.25">
      <c r="A176" s="26" t="s">
        <v>117</v>
      </c>
      <c r="B176" s="26">
        <v>1.0951</v>
      </c>
    </row>
    <row r="177" spans="1:2" x14ac:dyDescent="0.25">
      <c r="A177" s="26" t="s">
        <v>116</v>
      </c>
      <c r="B177" s="26">
        <v>1.1000000000000001</v>
      </c>
    </row>
    <row r="178" spans="1:2" x14ac:dyDescent="0.25">
      <c r="A178" s="26" t="s">
        <v>115</v>
      </c>
      <c r="B178" s="26">
        <v>1.0992</v>
      </c>
    </row>
    <row r="179" spans="1:2" x14ac:dyDescent="0.25">
      <c r="A179" s="26" t="s">
        <v>114</v>
      </c>
      <c r="B179" s="26">
        <v>1.0982000000000001</v>
      </c>
    </row>
    <row r="180" spans="1:2" x14ac:dyDescent="0.25">
      <c r="A180" s="26" t="s">
        <v>113</v>
      </c>
      <c r="B180" s="26">
        <v>1.1096999999999999</v>
      </c>
    </row>
    <row r="181" spans="1:2" x14ac:dyDescent="0.25">
      <c r="A181" s="26" t="s">
        <v>112</v>
      </c>
      <c r="B181" s="26">
        <v>1.1054999999999999</v>
      </c>
    </row>
    <row r="182" spans="1:2" x14ac:dyDescent="0.25">
      <c r="A182" s="26" t="s">
        <v>111</v>
      </c>
      <c r="B182" s="26">
        <v>1.0973999999999999</v>
      </c>
    </row>
    <row r="183" spans="1:2" x14ac:dyDescent="0.25">
      <c r="A183" s="26" t="s">
        <v>110</v>
      </c>
      <c r="B183" s="26">
        <v>1.1020000000000001</v>
      </c>
    </row>
    <row r="184" spans="1:2" x14ac:dyDescent="0.25">
      <c r="A184" s="26" t="s">
        <v>109</v>
      </c>
      <c r="B184" s="26">
        <v>1.1054999999999999</v>
      </c>
    </row>
    <row r="185" spans="1:2" x14ac:dyDescent="0.25">
      <c r="A185" s="26" t="s">
        <v>108</v>
      </c>
      <c r="B185" s="26">
        <v>1.0992999999999999</v>
      </c>
    </row>
    <row r="186" spans="1:2" x14ac:dyDescent="0.25">
      <c r="A186" s="26" t="s">
        <v>107</v>
      </c>
      <c r="B186" s="26">
        <v>1.1101000000000001</v>
      </c>
    </row>
    <row r="187" spans="1:2" x14ac:dyDescent="0.25">
      <c r="A187" s="26" t="s">
        <v>106</v>
      </c>
      <c r="B187" s="26">
        <v>1.1187</v>
      </c>
    </row>
    <row r="188" spans="1:2" x14ac:dyDescent="0.25">
      <c r="A188" s="26" t="s">
        <v>105</v>
      </c>
      <c r="B188" s="26">
        <v>1.117</v>
      </c>
    </row>
    <row r="189" spans="1:2" x14ac:dyDescent="0.25">
      <c r="A189" s="26" t="s">
        <v>104</v>
      </c>
      <c r="B189" s="26">
        <v>1.1117999999999999</v>
      </c>
    </row>
    <row r="190" spans="1:2" x14ac:dyDescent="0.25">
      <c r="A190" s="26" t="s">
        <v>103</v>
      </c>
      <c r="B190" s="26">
        <v>1.1143000000000001</v>
      </c>
    </row>
    <row r="191" spans="1:2" x14ac:dyDescent="0.25">
      <c r="A191" s="26" t="s">
        <v>102</v>
      </c>
      <c r="B191" s="26">
        <v>1.1052</v>
      </c>
    </row>
    <row r="192" spans="1:2" x14ac:dyDescent="0.25">
      <c r="A192" s="26" t="s">
        <v>101</v>
      </c>
      <c r="B192" s="26">
        <v>1.1092</v>
      </c>
    </row>
    <row r="193" spans="1:2" x14ac:dyDescent="0.25">
      <c r="A193" s="26" t="s">
        <v>100</v>
      </c>
      <c r="B193" s="26">
        <v>1.1102000000000001</v>
      </c>
    </row>
    <row r="194" spans="1:2" x14ac:dyDescent="0.25">
      <c r="A194" s="26" t="s">
        <v>99</v>
      </c>
      <c r="B194" s="26">
        <v>1.1063000000000001</v>
      </c>
    </row>
    <row r="195" spans="1:2" x14ac:dyDescent="0.25">
      <c r="A195" s="26" t="s">
        <v>98</v>
      </c>
      <c r="B195" s="26">
        <v>1.1002000000000001</v>
      </c>
    </row>
    <row r="196" spans="1:2" x14ac:dyDescent="0.25">
      <c r="A196" s="26" t="s">
        <v>97</v>
      </c>
      <c r="B196" s="26">
        <v>1.0908</v>
      </c>
    </row>
    <row r="197" spans="1:2" x14ac:dyDescent="0.25">
      <c r="A197" s="26" t="s">
        <v>96</v>
      </c>
      <c r="B197" s="26">
        <v>1.0996999999999999</v>
      </c>
    </row>
    <row r="198" spans="1:2" x14ac:dyDescent="0.25">
      <c r="A198" s="26" t="s">
        <v>95</v>
      </c>
      <c r="B198" s="26">
        <v>1.1063000000000001</v>
      </c>
    </row>
    <row r="199" spans="1:2" x14ac:dyDescent="0.25">
      <c r="A199" s="26" t="s">
        <v>94</v>
      </c>
      <c r="B199" s="26">
        <v>1.1042000000000001</v>
      </c>
    </row>
    <row r="200" spans="1:2" x14ac:dyDescent="0.25">
      <c r="A200" s="26" t="s">
        <v>93</v>
      </c>
      <c r="B200" s="26">
        <v>1.105</v>
      </c>
    </row>
    <row r="201" spans="1:2" x14ac:dyDescent="0.25">
      <c r="A201" s="26" t="s">
        <v>92</v>
      </c>
      <c r="B201" s="26">
        <v>1.1063000000000001</v>
      </c>
    </row>
    <row r="202" spans="1:2" x14ac:dyDescent="0.25">
      <c r="A202" s="26" t="s">
        <v>91</v>
      </c>
      <c r="B202" s="26">
        <v>1.1055999999999999</v>
      </c>
    </row>
    <row r="203" spans="1:2" x14ac:dyDescent="0.25">
      <c r="A203" s="26" t="s">
        <v>90</v>
      </c>
      <c r="B203" s="26">
        <v>1.1069</v>
      </c>
    </row>
    <row r="204" spans="1:2" x14ac:dyDescent="0.25">
      <c r="A204" s="26" t="s">
        <v>89</v>
      </c>
      <c r="B204" s="26">
        <v>1.1177999999999999</v>
      </c>
    </row>
    <row r="205" spans="1:2" x14ac:dyDescent="0.25">
      <c r="A205" s="26" t="s">
        <v>88</v>
      </c>
      <c r="B205" s="26">
        <v>1.1176999999999999</v>
      </c>
    </row>
    <row r="206" spans="1:2" x14ac:dyDescent="0.25">
      <c r="A206" s="26" t="s">
        <v>87</v>
      </c>
      <c r="B206" s="26">
        <v>1.1145</v>
      </c>
    </row>
    <row r="207" spans="1:2" x14ac:dyDescent="0.25">
      <c r="A207" s="26" t="s">
        <v>86</v>
      </c>
      <c r="B207" s="26">
        <v>1.115</v>
      </c>
    </row>
    <row r="208" spans="1:2" x14ac:dyDescent="0.25">
      <c r="A208" s="26" t="s">
        <v>85</v>
      </c>
      <c r="B208" s="26">
        <v>1.111</v>
      </c>
    </row>
    <row r="209" spans="1:2" x14ac:dyDescent="0.25">
      <c r="A209" s="26" t="s">
        <v>84</v>
      </c>
      <c r="B209" s="26">
        <v>1.1236999999999999</v>
      </c>
    </row>
    <row r="210" spans="1:2" x14ac:dyDescent="0.25">
      <c r="A210" s="26" t="s">
        <v>83</v>
      </c>
      <c r="B210" s="26">
        <v>1.1205000000000001</v>
      </c>
    </row>
    <row r="211" spans="1:2" x14ac:dyDescent="0.25">
      <c r="A211" s="26" t="s">
        <v>82</v>
      </c>
      <c r="B211" s="26">
        <v>1.1236999999999999</v>
      </c>
    </row>
    <row r="212" spans="1:2" x14ac:dyDescent="0.25">
      <c r="A212" s="26" t="s">
        <v>81</v>
      </c>
      <c r="B212" s="26">
        <v>1.1248</v>
      </c>
    </row>
    <row r="213" spans="1:2" x14ac:dyDescent="0.25">
      <c r="A213" s="26" t="s">
        <v>80</v>
      </c>
      <c r="B213" s="26">
        <v>1.1112</v>
      </c>
    </row>
    <row r="214" spans="1:2" x14ac:dyDescent="0.25">
      <c r="A214" s="26" t="s">
        <v>79</v>
      </c>
      <c r="B214" s="26">
        <v>1.1229</v>
      </c>
    </row>
    <row r="215" spans="1:2" x14ac:dyDescent="0.25">
      <c r="A215" s="26" t="s">
        <v>78</v>
      </c>
      <c r="B215" s="26">
        <v>1.1229</v>
      </c>
    </row>
    <row r="216" spans="1:2" x14ac:dyDescent="0.25">
      <c r="A216" s="26" t="s">
        <v>77</v>
      </c>
      <c r="B216" s="26">
        <v>1.1207</v>
      </c>
    </row>
    <row r="217" spans="1:2" x14ac:dyDescent="0.25">
      <c r="A217" s="26" t="s">
        <v>76</v>
      </c>
      <c r="B217" s="26">
        <v>1.1117999999999999</v>
      </c>
    </row>
    <row r="218" spans="1:2" x14ac:dyDescent="0.25">
      <c r="A218" s="26" t="s">
        <v>75</v>
      </c>
      <c r="B218" s="26">
        <v>1.1146</v>
      </c>
    </row>
    <row r="219" spans="1:2" x14ac:dyDescent="0.25">
      <c r="A219" s="26" t="s">
        <v>74</v>
      </c>
      <c r="B219" s="26">
        <v>1.1131</v>
      </c>
    </row>
    <row r="220" spans="1:2" x14ac:dyDescent="0.25">
      <c r="A220" s="26" t="s">
        <v>73</v>
      </c>
      <c r="B220" s="26">
        <v>1.1252</v>
      </c>
    </row>
    <row r="221" spans="1:2" x14ac:dyDescent="0.25">
      <c r="A221" s="26" t="s">
        <v>72</v>
      </c>
      <c r="B221" s="26">
        <v>1.1194</v>
      </c>
    </row>
    <row r="222" spans="1:2" x14ac:dyDescent="0.25">
      <c r="A222" s="26" t="s">
        <v>71</v>
      </c>
      <c r="B222" s="26">
        <v>1.1164000000000001</v>
      </c>
    </row>
    <row r="223" spans="1:2" x14ac:dyDescent="0.25">
      <c r="A223" s="26" t="s">
        <v>70</v>
      </c>
      <c r="B223" s="26">
        <v>1.1162000000000001</v>
      </c>
    </row>
    <row r="224" spans="1:2" x14ac:dyDescent="0.25">
      <c r="A224" s="26" t="s">
        <v>69</v>
      </c>
      <c r="B224" s="26">
        <v>1.119</v>
      </c>
    </row>
    <row r="225" spans="1:2" x14ac:dyDescent="0.25">
      <c r="A225" s="26" t="s">
        <v>68</v>
      </c>
      <c r="B225" s="26">
        <v>1.123</v>
      </c>
    </row>
    <row r="226" spans="1:2" x14ac:dyDescent="0.25">
      <c r="A226" s="26" t="s">
        <v>67</v>
      </c>
      <c r="B226" s="26">
        <v>1.1208</v>
      </c>
    </row>
    <row r="227" spans="1:2" x14ac:dyDescent="0.25">
      <c r="A227" s="26" t="s">
        <v>66</v>
      </c>
      <c r="B227" s="26">
        <v>1.1283000000000001</v>
      </c>
    </row>
    <row r="228" spans="1:2" x14ac:dyDescent="0.25">
      <c r="A228" s="26" t="s">
        <v>65</v>
      </c>
      <c r="B228" s="26">
        <v>1.1279999999999999</v>
      </c>
    </row>
    <row r="229" spans="1:2" x14ac:dyDescent="0.25">
      <c r="A229" s="26" t="s">
        <v>64</v>
      </c>
      <c r="B229" s="26">
        <v>1.1337999999999999</v>
      </c>
    </row>
    <row r="230" spans="1:2" x14ac:dyDescent="0.25">
      <c r="A230" s="26" t="s">
        <v>63</v>
      </c>
      <c r="B230" s="26">
        <v>1.1415999999999999</v>
      </c>
    </row>
    <row r="231" spans="1:2" x14ac:dyDescent="0.25">
      <c r="A231" s="26" t="s">
        <v>62</v>
      </c>
      <c r="B231" s="27">
        <v>1.1399999999999999</v>
      </c>
    </row>
    <row r="232" spans="1:2" x14ac:dyDescent="0.25">
      <c r="A232" s="26" t="s">
        <v>61</v>
      </c>
      <c r="B232" s="26">
        <v>1.1449</v>
      </c>
    </row>
    <row r="233" spans="1:2" x14ac:dyDescent="0.25">
      <c r="A233" s="26" t="s">
        <v>60</v>
      </c>
      <c r="B233" s="26">
        <v>1.1488</v>
      </c>
    </row>
    <row r="234" spans="1:2" x14ac:dyDescent="0.25">
      <c r="A234" s="26" t="s">
        <v>59</v>
      </c>
      <c r="B234" s="26">
        <v>1.1377999999999999</v>
      </c>
    </row>
    <row r="235" spans="1:2" x14ac:dyDescent="0.25">
      <c r="A235" s="26" t="s">
        <v>58</v>
      </c>
      <c r="B235" s="26">
        <v>1.1398999999999999</v>
      </c>
    </row>
    <row r="236" spans="1:2" x14ac:dyDescent="0.25">
      <c r="A236" s="26" t="s">
        <v>57</v>
      </c>
      <c r="B236" s="26">
        <v>1.1515</v>
      </c>
    </row>
    <row r="237" spans="1:2" x14ac:dyDescent="0.25">
      <c r="A237" s="26" t="s">
        <v>56</v>
      </c>
      <c r="B237" s="26">
        <v>1.1458999999999999</v>
      </c>
    </row>
    <row r="238" spans="1:2" x14ac:dyDescent="0.25">
      <c r="A238" s="26" t="s">
        <v>55</v>
      </c>
      <c r="B238" s="26">
        <v>1.1476</v>
      </c>
    </row>
    <row r="239" spans="1:2" x14ac:dyDescent="0.25">
      <c r="A239" s="26" t="s">
        <v>54</v>
      </c>
      <c r="B239" s="26">
        <v>1.1447000000000001</v>
      </c>
    </row>
    <row r="240" spans="1:2" x14ac:dyDescent="0.25">
      <c r="A240" s="26" t="s">
        <v>53</v>
      </c>
      <c r="B240" s="26">
        <v>1.1409</v>
      </c>
    </row>
    <row r="241" spans="1:2" x14ac:dyDescent="0.25">
      <c r="A241" s="26" t="s">
        <v>52</v>
      </c>
      <c r="B241" s="26">
        <v>1.1437999999999999</v>
      </c>
    </row>
    <row r="242" spans="1:2" x14ac:dyDescent="0.25">
      <c r="A242" s="26" t="s">
        <v>51</v>
      </c>
      <c r="B242" s="26">
        <v>1.1385000000000001</v>
      </c>
    </row>
    <row r="243" spans="1:2" x14ac:dyDescent="0.25">
      <c r="A243" s="26" t="s">
        <v>50</v>
      </c>
      <c r="B243" s="26">
        <v>1.1302000000000001</v>
      </c>
    </row>
    <row r="244" spans="1:2" x14ac:dyDescent="0.25">
      <c r="A244" s="26" t="s">
        <v>49</v>
      </c>
      <c r="B244" s="26">
        <v>1.1463000000000001</v>
      </c>
    </row>
    <row r="245" spans="1:2" x14ac:dyDescent="0.25">
      <c r="A245" s="26" t="s">
        <v>48</v>
      </c>
      <c r="B245" s="26">
        <v>1.1483000000000001</v>
      </c>
    </row>
    <row r="246" spans="1:2" x14ac:dyDescent="0.25">
      <c r="A246" s="26" t="s">
        <v>47</v>
      </c>
      <c r="B246" s="26">
        <v>1.1473</v>
      </c>
    </row>
    <row r="247" spans="1:2" x14ac:dyDescent="0.25">
      <c r="A247" s="26" t="s">
        <v>46</v>
      </c>
      <c r="B247" s="26">
        <v>1.1463000000000001</v>
      </c>
    </row>
    <row r="248" spans="1:2" x14ac:dyDescent="0.25">
      <c r="A248" s="26" t="s">
        <v>45</v>
      </c>
      <c r="B248" s="26">
        <v>1.1479999999999999</v>
      </c>
    </row>
    <row r="249" spans="1:2" x14ac:dyDescent="0.25">
      <c r="A249" s="26" t="s">
        <v>44</v>
      </c>
      <c r="B249" s="26">
        <v>1.1400999999999999</v>
      </c>
    </row>
    <row r="250" spans="1:2" x14ac:dyDescent="0.25">
      <c r="A250" s="26" t="s">
        <v>43</v>
      </c>
      <c r="B250" s="26">
        <v>1.1395999999999999</v>
      </c>
    </row>
    <row r="251" spans="1:2" x14ac:dyDescent="0.25">
      <c r="A251" s="26" t="s">
        <v>42</v>
      </c>
      <c r="B251" s="26">
        <v>1.1306</v>
      </c>
    </row>
    <row r="252" spans="1:2" x14ac:dyDescent="0.25">
      <c r="A252" s="26" t="s">
        <v>41</v>
      </c>
      <c r="B252" s="26">
        <v>1.1364000000000001</v>
      </c>
    </row>
    <row r="253" spans="1:2" x14ac:dyDescent="0.25">
      <c r="A253" s="26" t="s">
        <v>40</v>
      </c>
      <c r="B253" s="26">
        <v>1.1352</v>
      </c>
    </row>
    <row r="254" spans="1:2" x14ac:dyDescent="0.25">
      <c r="A254" s="26" t="s">
        <v>39</v>
      </c>
      <c r="B254" s="26">
        <v>1.1392</v>
      </c>
    </row>
    <row r="255" spans="1:2" x14ac:dyDescent="0.25">
      <c r="A255" s="26" t="s">
        <v>38</v>
      </c>
      <c r="B255" s="26">
        <v>1.1374</v>
      </c>
    </row>
  </sheetData>
  <mergeCells count="1">
    <mergeCell ref="A1:B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2" ma:contentTypeDescription="Create a new document." ma:contentTypeScope="" ma:versionID="2474c7f4549ad8682880aca525ed79ee">
  <xsd:schema xmlns:xsd="http://www.w3.org/2001/XMLSchema" xmlns:xs="http://www.w3.org/2001/XMLSchema" xmlns:p="http://schemas.microsoft.com/office/2006/metadata/properties" xmlns:ns2="f71abe4e-f5ff-49cd-8eff-5f4949acc510" xmlns:ns3="97b6fe81-1556-4112-94ca-31043ca39b71" targetNamespace="http://schemas.microsoft.com/office/2006/metadata/properties" ma:root="true" ma:fieldsID="496125ef1f1b50d60b2c8ba73c0e8f8d" ns2:_="" ns3:_="">
    <xsd:import namespace="f71abe4e-f5ff-49cd-8eff-5f4949acc510"/>
    <xsd:import namespace="97b6fe81-1556-4112-94ca-31043ca39b7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1881165-3DB2-4E5B-97C7-39D53A511452}"/>
</file>

<file path=customXml/itemProps2.xml><?xml version="1.0" encoding="utf-8"?>
<ds:datastoreItem xmlns:ds="http://schemas.openxmlformats.org/officeDocument/2006/customXml" ds:itemID="{C5B31980-B95E-4E2E-B695-F674AA8523BD}"/>
</file>

<file path=customXml/itemProps3.xml><?xml version="1.0" encoding="utf-8"?>
<ds:datastoreItem xmlns:ds="http://schemas.openxmlformats.org/officeDocument/2006/customXml" ds:itemID="{DB2CBE02-8D8F-4FEA-8DEC-B21C9709E30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Template_CMP368_9</vt:lpstr>
      <vt:lpstr>Exports</vt:lpstr>
      <vt:lpstr>Out-turn 2020_21</vt:lpstr>
      <vt:lpstr>Chart</vt:lpstr>
      <vt:lpstr>2020_21 Forecast</vt:lpstr>
      <vt:lpstr>Comparison to forecast</vt:lpstr>
      <vt:lpstr>Gen Rec</vt:lpstr>
      <vt:lpstr>Local Tariffs</vt:lpstr>
      <vt:lpstr>Exch Rate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Havvas (ESO), Andrew</dc:creator>
  <cp:lastModifiedBy>Zhou (ESO), Jo</cp:lastModifiedBy>
  <dcterms:created xsi:type="dcterms:W3CDTF">2021-04-30T11:09:53Z</dcterms:created>
  <dcterms:modified xsi:type="dcterms:W3CDTF">2021-06-02T16:03:04Z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ies>
</file>