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drawings/drawing6.xml" ContentType="application/vnd.openxmlformats-officedocument.drawing+xml"/>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xl/drawings/drawing8.xml" ContentType="application/vnd.openxmlformats-officedocument.drawing+xml"/>
  <Override PartName="/xl/customProperty12.bin" ContentType="application/vnd.openxmlformats-officedocument.spreadsheetml.customProperty"/>
  <Override PartName="/xl/drawings/drawing9.xml" ContentType="application/vnd.openxmlformats-officedocument.drawing+xml"/>
  <Override PartName="/xl/customProperty13.bin" ContentType="application/vnd.openxmlformats-officedocument.spreadsheetml.customProperty"/>
  <Override PartName="/xl/drawings/drawing10.xml" ContentType="application/vnd.openxmlformats-officedocument.drawing+xml"/>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customProperty16.bin" ContentType="application/vnd.openxmlformats-officedocument.spreadsheetml.customProperty"/>
  <Override PartName="/xl/drawings/drawing13.xml" ContentType="application/vnd.openxmlformats-officedocument.drawing+xml"/>
  <Override PartName="/xl/customProperty17.bin" ContentType="application/vnd.openxmlformats-officedocument.spreadsheetml.customProperty"/>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uk.corporg.net\NGDFS\Shared\NGDSSWRK002\Strategic_Financial_Planning\A - RIIO Business Partnering\RFPR\2019-20\03 Publication Versions\"/>
    </mc:Choice>
  </mc:AlternateContent>
  <xr:revisionPtr revIDLastSave="0" documentId="13_ncr:1_{C796972A-AF63-4291-9EB8-5139EC8900FE}" xr6:coauthVersionLast="41" xr6:coauthVersionMax="43" xr10:uidLastSave="{00000000-0000-0000-0000-000000000000}"/>
  <workbookProtection workbookAlgorithmName="SHA-512" workbookHashValue="g8bikwQcckSZsO6VRAKIBdF0K+8xNJfjwK5bdZahQiaOpCxWuiaEoys0nBw5Pg4bOZQqy7VF79CpvQkFySzQ4g==" workbookSaltValue="9Fr4LqAU2aNP2fZESamDww==" workbookSpinCount="100000" lockStructure="1"/>
  <bookViews>
    <workbookView xWindow="-120" yWindow="-120" windowWidth="19440" windowHeight="15000" tabRatio="847"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2" i="5" l="1"/>
  <c r="J18" i="15" l="1"/>
  <c r="B21" i="1" l="1"/>
  <c r="B3" i="1" l="1"/>
  <c r="E50" i="29" l="1"/>
  <c r="F50" i="29"/>
  <c r="G50" i="29"/>
  <c r="H50" i="29"/>
  <c r="I50" i="29"/>
  <c r="D50" i="29"/>
  <c r="M47" i="17" l="1"/>
  <c r="K21" i="20" l="1"/>
  <c r="J21" i="20"/>
  <c r="I21" i="20"/>
  <c r="H21" i="20"/>
  <c r="G21" i="20"/>
  <c r="F21" i="20"/>
  <c r="E21" i="20"/>
  <c r="D21" i="20"/>
  <c r="K14" i="20"/>
  <c r="K16" i="20" s="1"/>
  <c r="J14" i="20"/>
  <c r="J16" i="20" s="1"/>
  <c r="I14" i="20"/>
  <c r="I16" i="20" s="1"/>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I13" i="11"/>
  <c r="H13" i="11"/>
  <c r="G13" i="11"/>
  <c r="F13" i="11"/>
  <c r="E13" i="11"/>
  <c r="D13" i="11"/>
  <c r="B3" i="11"/>
  <c r="A3" i="11"/>
  <c r="A2" i="11"/>
  <c r="K62" i="29"/>
  <c r="J62" i="29"/>
  <c r="I62" i="29"/>
  <c r="H62" i="29"/>
  <c r="G62" i="29"/>
  <c r="F62" i="29"/>
  <c r="E62" i="29"/>
  <c r="D62" i="29"/>
  <c r="K19" i="29"/>
  <c r="J19" i="29"/>
  <c r="I19" i="29"/>
  <c r="H19" i="29"/>
  <c r="G19" i="29"/>
  <c r="F19" i="29"/>
  <c r="E19" i="29"/>
  <c r="D19" i="29"/>
  <c r="A3" i="29"/>
  <c r="A2" i="29"/>
  <c r="K28" i="10"/>
  <c r="J28" i="10"/>
  <c r="I28" i="10"/>
  <c r="H28" i="10"/>
  <c r="G28" i="10"/>
  <c r="F28" i="10"/>
  <c r="E28" i="10"/>
  <c r="D28" i="10"/>
  <c r="A3" i="10"/>
  <c r="A2" i="10"/>
  <c r="K8" i="27"/>
  <c r="I8" i="27"/>
  <c r="K52" i="27"/>
  <c r="J52" i="27"/>
  <c r="I52" i="27"/>
  <c r="H52" i="27"/>
  <c r="G52" i="27"/>
  <c r="F52" i="27"/>
  <c r="E52" i="27"/>
  <c r="D52" i="27"/>
  <c r="B41" i="27"/>
  <c r="B40" i="27"/>
  <c r="B39" i="27"/>
  <c r="B38" i="27"/>
  <c r="B37" i="27"/>
  <c r="B36" i="27"/>
  <c r="B35" i="27"/>
  <c r="B34" i="27"/>
  <c r="B29" i="27"/>
  <c r="B28" i="27"/>
  <c r="B27" i="27"/>
  <c r="B26" i="27"/>
  <c r="B3" i="27"/>
  <c r="A3" i="27"/>
  <c r="A2" i="27"/>
  <c r="B53" i="17"/>
  <c r="B52" i="17"/>
  <c r="B51" i="17"/>
  <c r="M50" i="17"/>
  <c r="B50" i="17"/>
  <c r="B49" i="17"/>
  <c r="B48" i="17"/>
  <c r="B46" i="17"/>
  <c r="B27" i="17"/>
  <c r="B26" i="17"/>
  <c r="B25" i="17"/>
  <c r="B24" i="17"/>
  <c r="B23" i="17"/>
  <c r="B22" i="17"/>
  <c r="B21" i="17"/>
  <c r="B20" i="17"/>
  <c r="B19" i="17"/>
  <c r="B18" i="17"/>
  <c r="B17" i="17"/>
  <c r="B16" i="17"/>
  <c r="B15" i="17"/>
  <c r="B14" i="17"/>
  <c r="B13" i="17"/>
  <c r="B12" i="17"/>
  <c r="B11" i="17"/>
  <c r="B8" i="17"/>
  <c r="L6" i="17"/>
  <c r="B3" i="17"/>
  <c r="A3" i="17"/>
  <c r="A2" i="17"/>
  <c r="K17" i="3"/>
  <c r="K18" i="4" s="1"/>
  <c r="J17" i="3"/>
  <c r="J18" i="4" s="1"/>
  <c r="I17" i="3"/>
  <c r="I18" i="4" s="1"/>
  <c r="H17" i="3"/>
  <c r="H18" i="4" s="1"/>
  <c r="G17" i="3"/>
  <c r="G18" i="4" s="1"/>
  <c r="F17" i="3"/>
  <c r="F18" i="4" s="1"/>
  <c r="E17" i="3"/>
  <c r="E18" i="4" s="1"/>
  <c r="D17" i="3"/>
  <c r="D18" i="4" s="1"/>
  <c r="K12" i="3"/>
  <c r="K17" i="4" s="1"/>
  <c r="J12" i="3"/>
  <c r="J17" i="4" s="1"/>
  <c r="I12" i="3"/>
  <c r="I17" i="4" s="1"/>
  <c r="H12" i="3"/>
  <c r="H17" i="4" s="1"/>
  <c r="G12" i="3"/>
  <c r="G17" i="4" s="1"/>
  <c r="F12" i="3"/>
  <c r="F17" i="4" s="1"/>
  <c r="E12" i="3"/>
  <c r="E17" i="4" s="1"/>
  <c r="D12" i="3"/>
  <c r="D17" i="4" s="1"/>
  <c r="B3" i="3"/>
  <c r="A3" i="3"/>
  <c r="A2" i="3"/>
  <c r="K102" i="5"/>
  <c r="K15" i="4" s="1"/>
  <c r="J15" i="4"/>
  <c r="I102" i="5"/>
  <c r="I15" i="4" s="1"/>
  <c r="H102" i="5"/>
  <c r="H15" i="4" s="1"/>
  <c r="G102" i="5"/>
  <c r="G15" i="4" s="1"/>
  <c r="F102" i="5"/>
  <c r="F15" i="4" s="1"/>
  <c r="E102" i="5"/>
  <c r="E15" i="4" s="1"/>
  <c r="D102" i="5"/>
  <c r="D15" i="4" s="1"/>
  <c r="A100" i="5"/>
  <c r="A111" i="5" s="1"/>
  <c r="A97" i="5"/>
  <c r="A110" i="5" s="1"/>
  <c r="A94" i="5"/>
  <c r="A109" i="5" s="1"/>
  <c r="A91" i="5"/>
  <c r="A108" i="5" s="1"/>
  <c r="A88" i="5"/>
  <c r="A107" i="5" s="1"/>
  <c r="A85" i="5"/>
  <c r="A106" i="5" s="1"/>
  <c r="A82" i="5"/>
  <c r="A105" i="5" s="1"/>
  <c r="K73" i="5"/>
  <c r="J73" i="5"/>
  <c r="I73" i="5"/>
  <c r="H73" i="5"/>
  <c r="G73" i="5"/>
  <c r="F73" i="5"/>
  <c r="E73" i="5"/>
  <c r="D73" i="5"/>
  <c r="A69" i="5"/>
  <c r="J69" i="5" s="1"/>
  <c r="A65" i="5"/>
  <c r="H65" i="5" s="1"/>
  <c r="A61" i="5"/>
  <c r="J61" i="5" s="1"/>
  <c r="A57" i="5"/>
  <c r="H57" i="5" s="1"/>
  <c r="A53" i="5"/>
  <c r="J53" i="5" s="1"/>
  <c r="A49" i="5"/>
  <c r="H49" i="5" s="1"/>
  <c r="A45" i="5"/>
  <c r="A44" i="5"/>
  <c r="A43" i="5"/>
  <c r="A42" i="5"/>
  <c r="A41" i="5"/>
  <c r="A40" i="5"/>
  <c r="A39" i="5"/>
  <c r="A25" i="5"/>
  <c r="A24" i="5"/>
  <c r="A23" i="5"/>
  <c r="A22" i="5"/>
  <c r="A21" i="5"/>
  <c r="K18" i="5"/>
  <c r="J18" i="5"/>
  <c r="I18" i="5"/>
  <c r="H18" i="5"/>
  <c r="G18" i="5"/>
  <c r="F18" i="5"/>
  <c r="E18" i="5"/>
  <c r="D18" i="5"/>
  <c r="M17" i="5"/>
  <c r="M16" i="5"/>
  <c r="M15" i="5"/>
  <c r="M14" i="5"/>
  <c r="M13" i="5"/>
  <c r="M12" i="5"/>
  <c r="M1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K56" i="2"/>
  <c r="J56" i="2"/>
  <c r="I56" i="2"/>
  <c r="H56" i="2"/>
  <c r="G56" i="2"/>
  <c r="F56" i="2"/>
  <c r="E56" i="2"/>
  <c r="D56" i="2"/>
  <c r="M56" i="2" s="1"/>
  <c r="M55" i="2"/>
  <c r="M54" i="2"/>
  <c r="M53" i="2"/>
  <c r="M52" i="2"/>
  <c r="M51" i="2"/>
  <c r="M50" i="2"/>
  <c r="K44" i="2"/>
  <c r="J44" i="2"/>
  <c r="I44" i="2"/>
  <c r="I58" i="2" s="1"/>
  <c r="H44" i="2"/>
  <c r="H58" i="2" s="1"/>
  <c r="G44" i="2"/>
  <c r="F44" i="2"/>
  <c r="E44" i="2"/>
  <c r="E58" i="2" s="1"/>
  <c r="D44" i="2"/>
  <c r="K42" i="2"/>
  <c r="J42" i="2"/>
  <c r="I42" i="2"/>
  <c r="H42" i="2"/>
  <c r="G42" i="2"/>
  <c r="F42" i="2"/>
  <c r="E42" i="2"/>
  <c r="D42" i="2"/>
  <c r="M41" i="2"/>
  <c r="M40" i="2"/>
  <c r="M27" i="2"/>
  <c r="M26" i="2"/>
  <c r="M25" i="2"/>
  <c r="M24" i="2"/>
  <c r="K16" i="2"/>
  <c r="J16" i="2"/>
  <c r="I16" i="2"/>
  <c r="H16" i="2"/>
  <c r="G16" i="2"/>
  <c r="F16" i="2"/>
  <c r="E16" i="2"/>
  <c r="D16" i="2"/>
  <c r="L6" i="2"/>
  <c r="A3" i="2"/>
  <c r="A2" i="2"/>
  <c r="K78" i="15"/>
  <c r="J78" i="15"/>
  <c r="I78" i="15"/>
  <c r="H78" i="15"/>
  <c r="G78" i="15"/>
  <c r="F78" i="15"/>
  <c r="E78" i="15"/>
  <c r="D78" i="15"/>
  <c r="K46" i="15"/>
  <c r="J46" i="15"/>
  <c r="I46" i="15"/>
  <c r="H46" i="15"/>
  <c r="G46" i="15"/>
  <c r="F46" i="15"/>
  <c r="E46" i="15"/>
  <c r="D46" i="15"/>
  <c r="K18" i="15"/>
  <c r="K23" i="15" s="1"/>
  <c r="J23" i="15"/>
  <c r="I18" i="15"/>
  <c r="I23" i="15" s="1"/>
  <c r="H18" i="15"/>
  <c r="H23" i="15" s="1"/>
  <c r="G18" i="15"/>
  <c r="G23" i="15" s="1"/>
  <c r="F18" i="15"/>
  <c r="F23" i="15" s="1"/>
  <c r="E18" i="15"/>
  <c r="E23" i="15" s="1"/>
  <c r="D18" i="15"/>
  <c r="D23" i="15" s="1"/>
  <c r="A3" i="15"/>
  <c r="A2" i="15"/>
  <c r="K64" i="4"/>
  <c r="J64" i="4"/>
  <c r="I64" i="4"/>
  <c r="H64" i="4"/>
  <c r="G64" i="4"/>
  <c r="F64" i="4"/>
  <c r="E64" i="4"/>
  <c r="D64" i="4"/>
  <c r="K45" i="4"/>
  <c r="K66" i="4" s="1"/>
  <c r="K68" i="4" s="1"/>
  <c r="J45" i="4"/>
  <c r="J66" i="4" s="1"/>
  <c r="J68" i="4" s="1"/>
  <c r="I45" i="4"/>
  <c r="H45" i="4"/>
  <c r="G45" i="4"/>
  <c r="F45" i="4"/>
  <c r="F66" i="4" s="1"/>
  <c r="F68" i="4" s="1"/>
  <c r="E45" i="4"/>
  <c r="D45" i="4"/>
  <c r="K28" i="4"/>
  <c r="K14" i="4"/>
  <c r="J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F159" i="28" s="1"/>
  <c r="B202" i="28"/>
  <c r="E192" i="28"/>
  <c r="B192" i="28"/>
  <c r="E182" i="28"/>
  <c r="F155" i="28" s="1"/>
  <c r="B182" i="28"/>
  <c r="F158" i="28"/>
  <c r="F157" i="28"/>
  <c r="F156" i="28"/>
  <c r="F154" i="28"/>
  <c r="F153" i="28"/>
  <c r="F152" i="28"/>
  <c r="D118" i="28"/>
  <c r="E118" i="28" s="1"/>
  <c r="F118" i="28" s="1"/>
  <c r="G118" i="28" s="1"/>
  <c r="H118" i="28" s="1"/>
  <c r="I118" i="28" s="1"/>
  <c r="J118" i="28" s="1"/>
  <c r="K118" i="28" s="1"/>
  <c r="L118" i="28" s="1"/>
  <c r="D105" i="28"/>
  <c r="E105" i="28" s="1"/>
  <c r="F105" i="28" s="1"/>
  <c r="G105" i="28" s="1"/>
  <c r="H105" i="28" s="1"/>
  <c r="I105" i="28" s="1"/>
  <c r="J105" i="28" s="1"/>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C14" i="13" s="1"/>
  <c r="C42" i="2" s="1"/>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L72" i="28"/>
  <c r="M72" i="28" s="1"/>
  <c r="N72" i="28" s="1"/>
  <c r="O72" i="28" s="1"/>
  <c r="P72" i="28" s="1"/>
  <c r="Q72" i="28" s="1"/>
  <c r="R72" i="28" s="1"/>
  <c r="S72" i="28" s="1"/>
  <c r="T72" i="28" s="1"/>
  <c r="D62" i="28"/>
  <c r="E62" i="28" s="1"/>
  <c r="F62" i="28" s="1"/>
  <c r="G62" i="28" s="1"/>
  <c r="H62" i="28" s="1"/>
  <c r="I62" i="28" s="1"/>
  <c r="J62" i="28" s="1"/>
  <c r="K62" i="28" s="1"/>
  <c r="L62" i="28" s="1"/>
  <c r="J51" i="28"/>
  <c r="I51" i="28"/>
  <c r="H51" i="28"/>
  <c r="G51" i="28"/>
  <c r="F51" i="28"/>
  <c r="E51" i="28"/>
  <c r="D51" i="28"/>
  <c r="C51" i="28"/>
  <c r="D50" i="28"/>
  <c r="E50" i="28" s="1"/>
  <c r="F50" i="28" s="1"/>
  <c r="G50" i="28" s="1"/>
  <c r="H50" i="28" s="1"/>
  <c r="I50" i="28" s="1"/>
  <c r="J50" i="28" s="1"/>
  <c r="C48" i="28"/>
  <c r="B45" i="28"/>
  <c r="J43" i="28"/>
  <c r="I43" i="28"/>
  <c r="H43" i="28"/>
  <c r="G43" i="28"/>
  <c r="E42" i="28"/>
  <c r="F42" i="28" s="1"/>
  <c r="E38" i="28"/>
  <c r="F38" i="28" s="1"/>
  <c r="G38" i="28" s="1"/>
  <c r="H38" i="28" s="1"/>
  <c r="I38" i="28" s="1"/>
  <c r="J38" i="28" s="1"/>
  <c r="D30" i="28"/>
  <c r="D29" i="28"/>
  <c r="D28" i="28"/>
  <c r="D27" i="28"/>
  <c r="D26" i="28"/>
  <c r="D25" i="28"/>
  <c r="D24" i="28"/>
  <c r="D23" i="28"/>
  <c r="D22" i="28"/>
  <c r="D21" i="28"/>
  <c r="D20" i="28"/>
  <c r="D19" i="28"/>
  <c r="D18" i="28"/>
  <c r="D17" i="28"/>
  <c r="D16" i="28"/>
  <c r="D15" i="28"/>
  <c r="D14" i="28"/>
  <c r="A3" i="28"/>
  <c r="A2" i="28"/>
  <c r="C13" i="13"/>
  <c r="D6" i="15" s="1"/>
  <c r="C12" i="13"/>
  <c r="C11" i="13"/>
  <c r="C10" i="13"/>
  <c r="C6" i="13"/>
  <c r="E156" i="28" s="1"/>
  <c r="A3" i="13"/>
  <c r="A2" i="13"/>
  <c r="G66" i="4" l="1"/>
  <c r="G68" i="4" s="1"/>
  <c r="E66" i="4"/>
  <c r="E68" i="4" s="1"/>
  <c r="I66" i="4"/>
  <c r="I68" i="4" s="1"/>
  <c r="D66" i="4"/>
  <c r="D68" i="4" s="1"/>
  <c r="M73" i="5"/>
  <c r="H66" i="4"/>
  <c r="H68" i="4" s="1"/>
  <c r="M18" i="5"/>
  <c r="M42" i="2"/>
  <c r="M49" i="17"/>
  <c r="M53" i="17"/>
  <c r="K55" i="17"/>
  <c r="E55" i="17"/>
  <c r="I55" i="17"/>
  <c r="G55" i="17"/>
  <c r="J26" i="4"/>
  <c r="J28" i="4" s="1"/>
  <c r="F26" i="4"/>
  <c r="F28" i="4" s="1"/>
  <c r="G26" i="4"/>
  <c r="G28" i="4" s="1"/>
  <c r="D26" i="4"/>
  <c r="D28" i="4" s="1"/>
  <c r="H26" i="4"/>
  <c r="H28" i="4" s="1"/>
  <c r="E26" i="4"/>
  <c r="E28" i="4" s="1"/>
  <c r="I26" i="4"/>
  <c r="I28" i="4" s="1"/>
  <c r="K26" i="4"/>
  <c r="H8" i="27"/>
  <c r="E23" i="27"/>
  <c r="D55" i="17"/>
  <c r="H55" i="17"/>
  <c r="F55" i="17"/>
  <c r="J55" i="17"/>
  <c r="D48" i="15"/>
  <c r="D80" i="15" s="1"/>
  <c r="H48" i="15"/>
  <c r="H80" i="15" s="1"/>
  <c r="G42" i="28"/>
  <c r="H42" i="28" s="1"/>
  <c r="I42" i="28" s="1"/>
  <c r="J42" i="28" s="1"/>
  <c r="E48" i="15"/>
  <c r="E80" i="15" s="1"/>
  <c r="I48" i="15"/>
  <c r="I80" i="15" s="1"/>
  <c r="F48" i="15"/>
  <c r="F80" i="15" s="1"/>
  <c r="J48" i="15"/>
  <c r="J80" i="15" s="1"/>
  <c r="G48" i="15"/>
  <c r="G80" i="15" s="1"/>
  <c r="K48" i="15"/>
  <c r="K80" i="15" s="1"/>
  <c r="E49" i="5"/>
  <c r="I49" i="5"/>
  <c r="G53" i="5"/>
  <c r="K53" i="5"/>
  <c r="E57" i="5"/>
  <c r="I57" i="5"/>
  <c r="G61" i="5"/>
  <c r="K61" i="5"/>
  <c r="E65" i="5"/>
  <c r="I65" i="5"/>
  <c r="G69" i="5"/>
  <c r="K69" i="5"/>
  <c r="M52" i="17"/>
  <c r="F46" i="2"/>
  <c r="F49" i="5"/>
  <c r="J49" i="5"/>
  <c r="D53" i="5"/>
  <c r="H53" i="5"/>
  <c r="F57" i="5"/>
  <c r="J57" i="5"/>
  <c r="D61" i="5"/>
  <c r="H61" i="5"/>
  <c r="F65" i="5"/>
  <c r="J65" i="5"/>
  <c r="D69" i="5"/>
  <c r="H69" i="5"/>
  <c r="M48" i="17"/>
  <c r="K47" i="2"/>
  <c r="G49" i="5"/>
  <c r="K49" i="5"/>
  <c r="E53" i="5"/>
  <c r="I53" i="5"/>
  <c r="G57" i="5"/>
  <c r="K57" i="5"/>
  <c r="E61" i="5"/>
  <c r="I61" i="5"/>
  <c r="G65" i="5"/>
  <c r="K65" i="5"/>
  <c r="E69" i="5"/>
  <c r="I69" i="5"/>
  <c r="D49" i="5"/>
  <c r="F53" i="5"/>
  <c r="D57" i="5"/>
  <c r="F61" i="5"/>
  <c r="D65" i="5"/>
  <c r="F69" i="5"/>
  <c r="M51" i="17"/>
  <c r="D23" i="27"/>
  <c r="I59" i="2"/>
  <c r="K46" i="2"/>
  <c r="F47" i="2"/>
  <c r="E46" i="2"/>
  <c r="E62" i="2" s="1"/>
  <c r="I46" i="2"/>
  <c r="I62" i="2" s="1"/>
  <c r="E59" i="2"/>
  <c r="E6" i="15"/>
  <c r="D5" i="15"/>
  <c r="E154" i="28"/>
  <c r="E159" i="28"/>
  <c r="C51" i="1"/>
  <c r="C55" i="1"/>
  <c r="C61" i="1"/>
  <c r="C11" i="4"/>
  <c r="J46" i="29"/>
  <c r="F46" i="29"/>
  <c r="J42" i="10"/>
  <c r="F42" i="10"/>
  <c r="I65" i="27"/>
  <c r="E65" i="27"/>
  <c r="H58" i="27"/>
  <c r="D58" i="27"/>
  <c r="J62" i="17"/>
  <c r="F62" i="17"/>
  <c r="I46" i="29"/>
  <c r="E46" i="29"/>
  <c r="I42" i="10"/>
  <c r="E42" i="10"/>
  <c r="H65" i="27"/>
  <c r="D65" i="27"/>
  <c r="K58" i="27"/>
  <c r="G58" i="27"/>
  <c r="I62" i="17"/>
  <c r="E62" i="17"/>
  <c r="H46" i="29"/>
  <c r="D46" i="29"/>
  <c r="H42" i="10"/>
  <c r="D42" i="10"/>
  <c r="K65" i="27"/>
  <c r="G65" i="27"/>
  <c r="J58" i="27"/>
  <c r="F58" i="27"/>
  <c r="H62" i="17"/>
  <c r="D62" i="17"/>
  <c r="J65" i="27"/>
  <c r="E58" i="27"/>
  <c r="K42" i="10"/>
  <c r="F65" i="27"/>
  <c r="K62" i="17"/>
  <c r="K46" i="29"/>
  <c r="G42" i="10"/>
  <c r="G62" i="17"/>
  <c r="G46" i="29"/>
  <c r="I58" i="27"/>
  <c r="C33" i="28"/>
  <c r="C50" i="1"/>
  <c r="C54" i="1"/>
  <c r="C66" i="1"/>
  <c r="E157" i="28"/>
  <c r="E153" i="28"/>
  <c r="D6" i="20"/>
  <c r="D6" i="19"/>
  <c r="D6" i="3"/>
  <c r="D6" i="10"/>
  <c r="D5" i="10" s="1"/>
  <c r="D6" i="27"/>
  <c r="D6" i="11"/>
  <c r="D6" i="29"/>
  <c r="D5" i="29" s="1"/>
  <c r="D6" i="17"/>
  <c r="E6" i="17" s="1"/>
  <c r="D6" i="4"/>
  <c r="D6" i="1"/>
  <c r="D6" i="2"/>
  <c r="D6" i="5"/>
  <c r="B48" i="28"/>
  <c r="B10" i="2" s="1"/>
  <c r="B88" i="2" s="1"/>
  <c r="B149" i="28"/>
  <c r="E158" i="28"/>
  <c r="C48" i="1"/>
  <c r="C53" i="1"/>
  <c r="C12" i="2"/>
  <c r="F58" i="2"/>
  <c r="F59" i="2"/>
  <c r="J58" i="2"/>
  <c r="J59" i="2"/>
  <c r="J47" i="2"/>
  <c r="J46" i="2"/>
  <c r="J41" i="10"/>
  <c r="F41" i="10"/>
  <c r="I41" i="10"/>
  <c r="E41" i="10"/>
  <c r="H41" i="10"/>
  <c r="D41" i="10"/>
  <c r="G41" i="10"/>
  <c r="K41" i="10"/>
  <c r="C8" i="20"/>
  <c r="C14" i="19"/>
  <c r="C86" i="29"/>
  <c r="C74" i="29"/>
  <c r="C68" i="29"/>
  <c r="C61" i="29"/>
  <c r="C47" i="10"/>
  <c r="C29" i="10"/>
  <c r="C25" i="10"/>
  <c r="C21" i="10"/>
  <c r="C17" i="10"/>
  <c r="C16" i="10"/>
  <c r="C61" i="27"/>
  <c r="C90" i="17"/>
  <c r="C79" i="17"/>
  <c r="C28" i="3"/>
  <c r="C19" i="19"/>
  <c r="C83" i="29"/>
  <c r="C73" i="29"/>
  <c r="C67" i="29"/>
  <c r="C60" i="29"/>
  <c r="C51" i="10"/>
  <c r="C46" i="10"/>
  <c r="C28" i="10"/>
  <c r="C24" i="10"/>
  <c r="C20" i="10"/>
  <c r="C11" i="10"/>
  <c r="C88" i="17"/>
  <c r="C70" i="17"/>
  <c r="C18" i="19"/>
  <c r="C89" i="29"/>
  <c r="C81" i="29"/>
  <c r="C72" i="29"/>
  <c r="C66" i="29"/>
  <c r="C53" i="29"/>
  <c r="C50" i="10"/>
  <c r="C45" i="10"/>
  <c r="C27" i="10"/>
  <c r="C23" i="10"/>
  <c r="C19" i="10"/>
  <c r="C63" i="27"/>
  <c r="C86" i="17"/>
  <c r="C69" i="17"/>
  <c r="C17" i="19"/>
  <c r="C71" i="29"/>
  <c r="C41" i="29"/>
  <c r="C49" i="10"/>
  <c r="C26" i="10"/>
  <c r="C80" i="17"/>
  <c r="C69" i="5"/>
  <c r="C53" i="5"/>
  <c r="C43" i="5"/>
  <c r="C39" i="5"/>
  <c r="C17" i="5"/>
  <c r="C16" i="5"/>
  <c r="C15" i="5"/>
  <c r="C14" i="5"/>
  <c r="C13" i="5"/>
  <c r="C12" i="5"/>
  <c r="C11" i="5"/>
  <c r="C62" i="29"/>
  <c r="C22" i="10"/>
  <c r="C88" i="29"/>
  <c r="C18" i="10"/>
  <c r="C62" i="27"/>
  <c r="C73" i="5"/>
  <c r="C61" i="5"/>
  <c r="C79" i="29"/>
  <c r="C31" i="10"/>
  <c r="C56" i="17"/>
  <c r="C43" i="17"/>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C18" i="2"/>
  <c r="C24" i="2"/>
  <c r="C27" i="2"/>
  <c r="G58" i="2"/>
  <c r="G59" i="2"/>
  <c r="K58" i="2"/>
  <c r="K59" i="2"/>
  <c r="G46" i="2"/>
  <c r="G62" i="2" s="1"/>
  <c r="G47" i="2"/>
  <c r="G63" i="2" s="1"/>
  <c r="D59" i="2"/>
  <c r="D46" i="2"/>
  <c r="H59" i="2"/>
  <c r="H46" i="2"/>
  <c r="H62" i="2" s="1"/>
  <c r="H47" i="2"/>
  <c r="D47" i="2"/>
  <c r="D58" i="2"/>
  <c r="E47" i="2"/>
  <c r="I47" i="2"/>
  <c r="I63" i="2" s="1"/>
  <c r="F23" i="27"/>
  <c r="E8" i="27"/>
  <c r="J23" i="27"/>
  <c r="K23" i="27"/>
  <c r="H23" i="27"/>
  <c r="G8" i="27"/>
  <c r="M57" i="5" l="1"/>
  <c r="M65" i="5"/>
  <c r="M49" i="5"/>
  <c r="G23" i="27"/>
  <c r="F8" i="27"/>
  <c r="D50" i="15"/>
  <c r="M46" i="17"/>
  <c r="K63" i="2"/>
  <c r="K62" i="2"/>
  <c r="F62" i="2"/>
  <c r="B153" i="28"/>
  <c r="F25" i="28"/>
  <c r="F26" i="28" s="1"/>
  <c r="F27" i="28" s="1"/>
  <c r="M69" i="5"/>
  <c r="M61" i="5"/>
  <c r="M53" i="5"/>
  <c r="E25" i="28"/>
  <c r="E26" i="28" s="1"/>
  <c r="I64" i="2"/>
  <c r="F63" i="2"/>
  <c r="M58" i="2"/>
  <c r="M59" i="2"/>
  <c r="E63" i="2"/>
  <c r="E64" i="2" s="1"/>
  <c r="D78" i="2"/>
  <c r="E6" i="2"/>
  <c r="D5" i="2"/>
  <c r="D77" i="2"/>
  <c r="E6" i="27"/>
  <c r="D5" i="27"/>
  <c r="D5" i="20"/>
  <c r="E6" i="20"/>
  <c r="F6" i="15"/>
  <c r="E5" i="15"/>
  <c r="E50" i="15" s="1"/>
  <c r="D5" i="1"/>
  <c r="E6" i="1"/>
  <c r="E6" i="29"/>
  <c r="E5" i="29" s="1"/>
  <c r="D22" i="29"/>
  <c r="E6" i="10"/>
  <c r="E5" i="10" s="1"/>
  <c r="D40" i="10"/>
  <c r="D43" i="10" s="1"/>
  <c r="D36" i="10"/>
  <c r="D63" i="2"/>
  <c r="M47" i="2"/>
  <c r="G64" i="2"/>
  <c r="H63" i="2"/>
  <c r="D62" i="2"/>
  <c r="M46" i="2"/>
  <c r="B159" i="28"/>
  <c r="B17" i="5" s="1"/>
  <c r="B160" i="28"/>
  <c r="B156" i="28"/>
  <c r="B157" i="28"/>
  <c r="B15" i="5" s="1"/>
  <c r="B154" i="28"/>
  <c r="B12" i="5" s="1"/>
  <c r="B155" i="28"/>
  <c r="B13" i="5" s="1"/>
  <c r="B158" i="28"/>
  <c r="B16" i="5" s="1"/>
  <c r="B11" i="5"/>
  <c r="J62" i="2"/>
  <c r="D5" i="4"/>
  <c r="E6" i="4"/>
  <c r="D5" i="3"/>
  <c r="E6" i="3"/>
  <c r="J63" i="2"/>
  <c r="D99" i="5"/>
  <c r="D93" i="5"/>
  <c r="D87" i="5"/>
  <c r="D81" i="5"/>
  <c r="D96" i="5"/>
  <c r="D90" i="5"/>
  <c r="D84" i="5"/>
  <c r="D66" i="5"/>
  <c r="D67" i="5" s="1"/>
  <c r="D50" i="5"/>
  <c r="D51" i="5" s="1"/>
  <c r="D70" i="5"/>
  <c r="D71" i="5" s="1"/>
  <c r="D58" i="5"/>
  <c r="D59" i="5" s="1"/>
  <c r="D74" i="5"/>
  <c r="D75" i="5" s="1"/>
  <c r="D62" i="5"/>
  <c r="D63" i="5" s="1"/>
  <c r="D5" i="5"/>
  <c r="E6" i="5"/>
  <c r="D54" i="5"/>
  <c r="D55" i="5" s="1"/>
  <c r="D5" i="17"/>
  <c r="E6" i="11"/>
  <c r="D5" i="11"/>
  <c r="D5" i="19"/>
  <c r="E6" i="19"/>
  <c r="D33" i="28"/>
  <c r="C36" i="28"/>
  <c r="C35" i="28"/>
  <c r="D34" i="10" s="1"/>
  <c r="C34" i="28"/>
  <c r="C32" i="28"/>
  <c r="J8" i="27"/>
  <c r="I23" i="27"/>
  <c r="M55" i="17"/>
  <c r="E5" i="17"/>
  <c r="F6" i="17"/>
  <c r="K64" i="2" l="1"/>
  <c r="F64" i="2"/>
  <c r="J64" i="2"/>
  <c r="D79" i="2"/>
  <c r="D42" i="5"/>
  <c r="D41" i="5"/>
  <c r="B49" i="5"/>
  <c r="B82" i="5"/>
  <c r="B39" i="5"/>
  <c r="B51" i="1" s="1"/>
  <c r="B94" i="5"/>
  <c r="B65" i="5"/>
  <c r="B43" i="5"/>
  <c r="B55" i="1" s="1"/>
  <c r="M63" i="2"/>
  <c r="E78" i="2"/>
  <c r="E77" i="2"/>
  <c r="E5" i="2"/>
  <c r="F6" i="2"/>
  <c r="E33" i="28"/>
  <c r="D36" i="28"/>
  <c r="D35" i="28"/>
  <c r="E34" i="10" s="1"/>
  <c r="D34" i="28"/>
  <c r="D32" i="28"/>
  <c r="F6" i="11"/>
  <c r="E5" i="11"/>
  <c r="F6" i="4"/>
  <c r="E5" i="4"/>
  <c r="B97" i="5"/>
  <c r="B44" i="5"/>
  <c r="B69" i="5"/>
  <c r="B91" i="5"/>
  <c r="B61" i="5"/>
  <c r="B42" i="5"/>
  <c r="B54" i="1" s="1"/>
  <c r="M62" i="2"/>
  <c r="D64" i="2"/>
  <c r="F6" i="29"/>
  <c r="F5" i="29" s="1"/>
  <c r="E22" i="29"/>
  <c r="H64" i="2"/>
  <c r="D35" i="10"/>
  <c r="D39" i="29"/>
  <c r="D41" i="17"/>
  <c r="D56" i="17" s="1"/>
  <c r="D8" i="20"/>
  <c r="D14" i="19"/>
  <c r="D86" i="2"/>
  <c r="D28" i="3"/>
  <c r="F6" i="19"/>
  <c r="E5" i="19"/>
  <c r="D40" i="5"/>
  <c r="E96" i="5"/>
  <c r="E90" i="5"/>
  <c r="E84" i="5"/>
  <c r="E99" i="5"/>
  <c r="E70" i="5"/>
  <c r="E71" i="5" s="1"/>
  <c r="E44" i="5" s="1"/>
  <c r="E54" i="5"/>
  <c r="E55" i="5" s="1"/>
  <c r="E40" i="5" s="1"/>
  <c r="F6" i="5"/>
  <c r="E81" i="5"/>
  <c r="E87" i="5"/>
  <c r="E74" i="5"/>
  <c r="E75" i="5" s="1"/>
  <c r="E45" i="5" s="1"/>
  <c r="E62" i="5"/>
  <c r="E63" i="5" s="1"/>
  <c r="E42" i="5" s="1"/>
  <c r="E93" i="5"/>
  <c r="E66" i="5"/>
  <c r="E67" i="5" s="1"/>
  <c r="E43" i="5" s="1"/>
  <c r="E50" i="5"/>
  <c r="E51" i="5" s="1"/>
  <c r="E39" i="5" s="1"/>
  <c r="E5" i="5"/>
  <c r="E58" i="5"/>
  <c r="E59" i="5" s="1"/>
  <c r="E41" i="5" s="1"/>
  <c r="D43" i="5"/>
  <c r="B57" i="5"/>
  <c r="B88" i="5"/>
  <c r="B41" i="5"/>
  <c r="B53" i="1" s="1"/>
  <c r="E40" i="10"/>
  <c r="E43" i="10" s="1"/>
  <c r="F6" i="10"/>
  <c r="F5" i="10" s="1"/>
  <c r="F6" i="1"/>
  <c r="E5" i="1"/>
  <c r="G6" i="15"/>
  <c r="F5" i="15"/>
  <c r="F50" i="15" s="1"/>
  <c r="E5" i="27"/>
  <c r="F6" i="27"/>
  <c r="D45" i="5"/>
  <c r="D44" i="5"/>
  <c r="D39" i="5"/>
  <c r="F6" i="3"/>
  <c r="E5" i="3"/>
  <c r="B85" i="5"/>
  <c r="B40" i="5"/>
  <c r="B52" i="1" s="1"/>
  <c r="B53" i="5"/>
  <c r="B100" i="5"/>
  <c r="B73" i="5"/>
  <c r="B45" i="5"/>
  <c r="F6" i="20"/>
  <c r="E5" i="20"/>
  <c r="E27" i="28"/>
  <c r="G6" i="17"/>
  <c r="F5" i="17"/>
  <c r="B33" i="1" l="1"/>
  <c r="B14" i="1"/>
  <c r="D46" i="5"/>
  <c r="G6" i="19"/>
  <c r="F5" i="19"/>
  <c r="G6" i="4"/>
  <c r="F5" i="4"/>
  <c r="E41" i="17"/>
  <c r="E56" i="17" s="1"/>
  <c r="E8" i="20"/>
  <c r="E35" i="10"/>
  <c r="E14" i="19"/>
  <c r="E39" i="29"/>
  <c r="E86" i="2"/>
  <c r="E28" i="3"/>
  <c r="E79" i="2"/>
  <c r="B36" i="1"/>
  <c r="B17" i="1"/>
  <c r="B35" i="1"/>
  <c r="B16" i="1"/>
  <c r="F77" i="2"/>
  <c r="G6" i="2"/>
  <c r="F78" i="2"/>
  <c r="F5" i="2"/>
  <c r="G6" i="20"/>
  <c r="F5" i="20"/>
  <c r="G5" i="15"/>
  <c r="H6" i="15"/>
  <c r="G6" i="1"/>
  <c r="F5" i="1"/>
  <c r="B34" i="1"/>
  <c r="B15" i="1"/>
  <c r="F96" i="5"/>
  <c r="F90" i="5"/>
  <c r="F84" i="5"/>
  <c r="F99" i="5"/>
  <c r="F93" i="5"/>
  <c r="F87" i="5"/>
  <c r="F81" i="5"/>
  <c r="F58" i="5"/>
  <c r="F59" i="5" s="1"/>
  <c r="F41" i="5" s="1"/>
  <c r="F5" i="5"/>
  <c r="F74" i="5"/>
  <c r="F75" i="5" s="1"/>
  <c r="F66" i="5"/>
  <c r="F67" i="5" s="1"/>
  <c r="F43" i="5" s="1"/>
  <c r="F70" i="5"/>
  <c r="F71" i="5" s="1"/>
  <c r="F54" i="5"/>
  <c r="F55" i="5" s="1"/>
  <c r="F40" i="5" s="1"/>
  <c r="G6" i="5"/>
  <c r="F62" i="5"/>
  <c r="F63" i="5" s="1"/>
  <c r="F42" i="5" s="1"/>
  <c r="F50" i="5"/>
  <c r="F51" i="5" s="1"/>
  <c r="D119" i="2"/>
  <c r="D131" i="2"/>
  <c r="D130" i="2"/>
  <c r="D132" i="2"/>
  <c r="D103" i="2"/>
  <c r="D118" i="2"/>
  <c r="D104" i="2"/>
  <c r="D128" i="2"/>
  <c r="D133" i="2"/>
  <c r="D102" i="2"/>
  <c r="D105" i="2"/>
  <c r="D129" i="2"/>
  <c r="D86" i="29"/>
  <c r="D88" i="29"/>
  <c r="D23" i="29"/>
  <c r="D34" i="29" s="1"/>
  <c r="D37" i="29" s="1"/>
  <c r="F5" i="11"/>
  <c r="G6" i="11"/>
  <c r="G6" i="3"/>
  <c r="F5" i="3"/>
  <c r="G6" i="27"/>
  <c r="F5" i="27"/>
  <c r="G6" i="10"/>
  <c r="G5" i="10" s="1"/>
  <c r="F40" i="10"/>
  <c r="F43" i="10" s="1"/>
  <c r="E46" i="5"/>
  <c r="G6" i="29"/>
  <c r="G5" i="29" s="1"/>
  <c r="F22" i="29"/>
  <c r="M64" i="2"/>
  <c r="E36" i="28"/>
  <c r="E35" i="28"/>
  <c r="F34" i="10" s="1"/>
  <c r="E34" i="28"/>
  <c r="E32" i="28"/>
  <c r="F33" i="28"/>
  <c r="B32" i="1"/>
  <c r="B13" i="1"/>
  <c r="G5" i="17"/>
  <c r="H6" i="17"/>
  <c r="H5" i="17" s="1"/>
  <c r="E23" i="29" l="1"/>
  <c r="E34" i="29" s="1"/>
  <c r="E37" i="29" s="1"/>
  <c r="E49" i="29" s="1"/>
  <c r="F41" i="17"/>
  <c r="F56" i="17" s="1"/>
  <c r="F14" i="19"/>
  <c r="F35" i="10"/>
  <c r="F8" i="20"/>
  <c r="F86" i="2"/>
  <c r="F28" i="3"/>
  <c r="F39" i="29"/>
  <c r="H6" i="3"/>
  <c r="G5" i="3"/>
  <c r="D120" i="2"/>
  <c r="I6" i="15"/>
  <c r="H5" i="15"/>
  <c r="H6" i="19"/>
  <c r="G5" i="19"/>
  <c r="G99" i="5"/>
  <c r="G93" i="5"/>
  <c r="G87" i="5"/>
  <c r="G81" i="5"/>
  <c r="G74" i="5"/>
  <c r="G75" i="5" s="1"/>
  <c r="G45" i="5" s="1"/>
  <c r="G62" i="5"/>
  <c r="G63" i="5" s="1"/>
  <c r="G42" i="5" s="1"/>
  <c r="G84" i="5"/>
  <c r="G90" i="5"/>
  <c r="G70" i="5"/>
  <c r="G71" i="5" s="1"/>
  <c r="G44" i="5" s="1"/>
  <c r="G96" i="5"/>
  <c r="G58" i="5"/>
  <c r="G59" i="5" s="1"/>
  <c r="G41" i="5" s="1"/>
  <c r="G66" i="5"/>
  <c r="G67" i="5" s="1"/>
  <c r="G43" i="5" s="1"/>
  <c r="H6" i="5"/>
  <c r="G50" i="5"/>
  <c r="G51" i="5" s="1"/>
  <c r="G39" i="5" s="1"/>
  <c r="G54" i="5"/>
  <c r="G55" i="5" s="1"/>
  <c r="G5" i="5"/>
  <c r="F45" i="5"/>
  <c r="G50" i="15"/>
  <c r="F79" i="2"/>
  <c r="H6" i="4"/>
  <c r="G5" i="4"/>
  <c r="G33" i="28"/>
  <c r="F36" i="28"/>
  <c r="F35" i="28"/>
  <c r="G34" i="10" s="1"/>
  <c r="F34" i="28"/>
  <c r="F32" i="28"/>
  <c r="G22" i="29"/>
  <c r="H6" i="29"/>
  <c r="H5" i="29" s="1"/>
  <c r="H6" i="27"/>
  <c r="G5" i="27"/>
  <c r="H6" i="11"/>
  <c r="G5" i="11"/>
  <c r="D41" i="29"/>
  <c r="D49" i="29"/>
  <c r="D134" i="2"/>
  <c r="H6" i="20"/>
  <c r="G5" i="20"/>
  <c r="G77" i="2"/>
  <c r="G78" i="2"/>
  <c r="H6" i="2"/>
  <c r="G5" i="2"/>
  <c r="E102" i="2"/>
  <c r="E119" i="2"/>
  <c r="E105" i="2"/>
  <c r="E128" i="2"/>
  <c r="E131" i="2"/>
  <c r="E130" i="2"/>
  <c r="E132" i="2"/>
  <c r="E103" i="2"/>
  <c r="E118" i="2"/>
  <c r="E104" i="2"/>
  <c r="E133" i="2"/>
  <c r="E129" i="2"/>
  <c r="H6" i="10"/>
  <c r="H5" i="10" s="1"/>
  <c r="G40" i="10"/>
  <c r="G43" i="10" s="1"/>
  <c r="D89" i="29"/>
  <c r="F39" i="5"/>
  <c r="F44" i="5"/>
  <c r="H6" i="1"/>
  <c r="G5" i="1"/>
  <c r="E86" i="29"/>
  <c r="E88" i="29"/>
  <c r="I6" i="17"/>
  <c r="E41" i="29" l="1"/>
  <c r="E120" i="2"/>
  <c r="E125" i="2" s="1"/>
  <c r="G79" i="2"/>
  <c r="F46" i="5"/>
  <c r="H5" i="1"/>
  <c r="I6" i="1"/>
  <c r="I6" i="10"/>
  <c r="I5" i="10" s="1"/>
  <c r="H40" i="10"/>
  <c r="H43" i="10" s="1"/>
  <c r="G41" i="17"/>
  <c r="G14" i="19"/>
  <c r="G28" i="3"/>
  <c r="G86" i="2"/>
  <c r="G35" i="10"/>
  <c r="G8" i="20"/>
  <c r="G39" i="29"/>
  <c r="H5" i="4"/>
  <c r="I6" i="4"/>
  <c r="J6" i="15"/>
  <c r="I5" i="15"/>
  <c r="F88" i="29"/>
  <c r="F86" i="29"/>
  <c r="I6" i="27"/>
  <c r="H5" i="27"/>
  <c r="G40" i="5"/>
  <c r="G46" i="5" s="1"/>
  <c r="H5" i="3"/>
  <c r="I6" i="3"/>
  <c r="H5" i="19"/>
  <c r="I6" i="19"/>
  <c r="F103" i="2"/>
  <c r="F128" i="2"/>
  <c r="F133" i="2"/>
  <c r="F102" i="2"/>
  <c r="F129" i="2"/>
  <c r="F119" i="2"/>
  <c r="F118" i="2"/>
  <c r="F105" i="2"/>
  <c r="F130" i="2"/>
  <c r="F132" i="2"/>
  <c r="F131" i="2"/>
  <c r="F104" i="2"/>
  <c r="E134" i="2"/>
  <c r="D136" i="2"/>
  <c r="D137" i="2"/>
  <c r="I6" i="11"/>
  <c r="H5" i="11"/>
  <c r="I6" i="29"/>
  <c r="I5" i="29" s="1"/>
  <c r="H22" i="29"/>
  <c r="E89" i="29"/>
  <c r="F23" i="29"/>
  <c r="F34" i="29" s="1"/>
  <c r="F37" i="29" s="1"/>
  <c r="H78" i="2"/>
  <c r="I6" i="2"/>
  <c r="H77" i="2"/>
  <c r="H5" i="2"/>
  <c r="H5" i="20"/>
  <c r="I6" i="20"/>
  <c r="H33" i="28"/>
  <c r="G32" i="28"/>
  <c r="G35" i="28"/>
  <c r="H34" i="10" s="1"/>
  <c r="G34" i="28"/>
  <c r="G36" i="28"/>
  <c r="H99" i="5"/>
  <c r="H93" i="5"/>
  <c r="H87" i="5"/>
  <c r="H81" i="5"/>
  <c r="H96" i="5"/>
  <c r="H90" i="5"/>
  <c r="H84" i="5"/>
  <c r="H66" i="5"/>
  <c r="H67" i="5" s="1"/>
  <c r="H43" i="5" s="1"/>
  <c r="H50" i="5"/>
  <c r="H51" i="5" s="1"/>
  <c r="H39" i="5" s="1"/>
  <c r="H70" i="5"/>
  <c r="H71" i="5" s="1"/>
  <c r="H58" i="5"/>
  <c r="H59" i="5" s="1"/>
  <c r="H74" i="5"/>
  <c r="H75" i="5" s="1"/>
  <c r="H62" i="5"/>
  <c r="H63" i="5" s="1"/>
  <c r="H42" i="5" s="1"/>
  <c r="H54" i="5"/>
  <c r="H55" i="5" s="1"/>
  <c r="H40" i="5" s="1"/>
  <c r="H5" i="5"/>
  <c r="I6" i="5"/>
  <c r="H50" i="15"/>
  <c r="D125" i="2"/>
  <c r="D124" i="2"/>
  <c r="D51" i="29"/>
  <c r="D53" i="29" s="1"/>
  <c r="J6" i="17"/>
  <c r="L50" i="17" s="1"/>
  <c r="I5" i="17"/>
  <c r="E124" i="2" l="1"/>
  <c r="G23" i="29"/>
  <c r="G34" i="29" s="1"/>
  <c r="G37" i="29" s="1"/>
  <c r="D140" i="2"/>
  <c r="D141" i="2"/>
  <c r="F89" i="29"/>
  <c r="I33" i="28"/>
  <c r="H32" i="28"/>
  <c r="H35" i="28"/>
  <c r="I34" i="10" s="1"/>
  <c r="H36" i="28"/>
  <c r="H34" i="28"/>
  <c r="H79" i="2"/>
  <c r="L51" i="17"/>
  <c r="F120" i="2"/>
  <c r="F134" i="2"/>
  <c r="J6" i="19"/>
  <c r="I5" i="19"/>
  <c r="G133" i="2"/>
  <c r="G102" i="2"/>
  <c r="G129" i="2"/>
  <c r="G104" i="2"/>
  <c r="G105" i="2"/>
  <c r="G128" i="2"/>
  <c r="G130" i="2"/>
  <c r="G132" i="2"/>
  <c r="G131" i="2"/>
  <c r="G119" i="2"/>
  <c r="G118" i="2"/>
  <c r="G103" i="2"/>
  <c r="H44" i="5"/>
  <c r="L49" i="17"/>
  <c r="L53" i="17"/>
  <c r="L52" i="17"/>
  <c r="H8" i="20"/>
  <c r="H28" i="3"/>
  <c r="H14" i="19"/>
  <c r="H41" i="17"/>
  <c r="H56" i="17" s="1"/>
  <c r="H35" i="10"/>
  <c r="H39" i="29"/>
  <c r="H23" i="29" s="1"/>
  <c r="H34" i="29" s="1"/>
  <c r="H37" i="29" s="1"/>
  <c r="H86" i="2"/>
  <c r="J6" i="20"/>
  <c r="I5" i="20"/>
  <c r="L55" i="17"/>
  <c r="G88" i="29"/>
  <c r="G86" i="29"/>
  <c r="J6" i="10"/>
  <c r="J5" i="10" s="1"/>
  <c r="I40" i="10"/>
  <c r="I43" i="10" s="1"/>
  <c r="J6" i="1"/>
  <c r="I5" i="1"/>
  <c r="I96" i="5"/>
  <c r="I90" i="5"/>
  <c r="I84" i="5"/>
  <c r="I81" i="5"/>
  <c r="I70" i="5"/>
  <c r="I71" i="5" s="1"/>
  <c r="I44" i="5" s="1"/>
  <c r="I54" i="5"/>
  <c r="I55" i="5" s="1"/>
  <c r="I40" i="5" s="1"/>
  <c r="J6" i="5"/>
  <c r="L16" i="5" s="1"/>
  <c r="I87" i="5"/>
  <c r="I93" i="5"/>
  <c r="I74" i="5"/>
  <c r="I75" i="5" s="1"/>
  <c r="I45" i="5" s="1"/>
  <c r="I62" i="5"/>
  <c r="I63" i="5" s="1"/>
  <c r="I42" i="5" s="1"/>
  <c r="I99" i="5"/>
  <c r="I66" i="5"/>
  <c r="I67" i="5" s="1"/>
  <c r="I43" i="5" s="1"/>
  <c r="I50" i="5"/>
  <c r="I51" i="5" s="1"/>
  <c r="I39" i="5" s="1"/>
  <c r="I58" i="5"/>
  <c r="I59" i="5" s="1"/>
  <c r="I41" i="5" s="1"/>
  <c r="I5" i="5"/>
  <c r="H45" i="5"/>
  <c r="J6" i="11"/>
  <c r="I5" i="11"/>
  <c r="I5" i="27"/>
  <c r="J6" i="27"/>
  <c r="I50" i="15"/>
  <c r="L48" i="17"/>
  <c r="H41" i="5"/>
  <c r="I78" i="2"/>
  <c r="I77" i="2"/>
  <c r="I5" i="2"/>
  <c r="J6" i="2"/>
  <c r="L24" i="2" s="1"/>
  <c r="F41" i="29"/>
  <c r="F49" i="29"/>
  <c r="J6" i="29"/>
  <c r="J5" i="29" s="1"/>
  <c r="I22" i="29"/>
  <c r="E137" i="2"/>
  <c r="E141" i="2" s="1"/>
  <c r="E136" i="2"/>
  <c r="E140" i="2" s="1"/>
  <c r="J6" i="3"/>
  <c r="I5" i="3"/>
  <c r="L46" i="17"/>
  <c r="K6" i="15"/>
  <c r="K5" i="15" s="1"/>
  <c r="J5" i="15"/>
  <c r="J6" i="4"/>
  <c r="I5" i="4"/>
  <c r="G56" i="17"/>
  <c r="K6" i="17"/>
  <c r="J5" i="17"/>
  <c r="G49" i="29" l="1"/>
  <c r="G51" i="29" s="1"/>
  <c r="G53" i="29" s="1"/>
  <c r="D142" i="2"/>
  <c r="L56" i="2"/>
  <c r="L59" i="2"/>
  <c r="L55" i="2"/>
  <c r="L65" i="5"/>
  <c r="E142" i="2"/>
  <c r="L52" i="2"/>
  <c r="L40" i="2"/>
  <c r="L13" i="5"/>
  <c r="L17" i="5"/>
  <c r="L15" i="5"/>
  <c r="L62" i="2"/>
  <c r="L54" i="2"/>
  <c r="L61" i="5"/>
  <c r="L69" i="5"/>
  <c r="L11" i="5"/>
  <c r="J50" i="15"/>
  <c r="K6" i="3"/>
  <c r="K5" i="3" s="1"/>
  <c r="J5" i="3"/>
  <c r="I46" i="5"/>
  <c r="L64" i="2"/>
  <c r="K6" i="19"/>
  <c r="K5" i="19" s="1"/>
  <c r="J5" i="19"/>
  <c r="I14" i="19"/>
  <c r="I28" i="3"/>
  <c r="I39" i="29"/>
  <c r="I86" i="2"/>
  <c r="I35" i="10"/>
  <c r="I8" i="20"/>
  <c r="I41" i="17"/>
  <c r="I56" i="17" s="1"/>
  <c r="I32" i="28"/>
  <c r="J33" i="28"/>
  <c r="I35" i="28"/>
  <c r="J34" i="10" s="1"/>
  <c r="I36" i="28"/>
  <c r="I34" i="28"/>
  <c r="H41" i="29"/>
  <c r="H49" i="29"/>
  <c r="H51" i="29" s="1"/>
  <c r="H53" i="29" s="1"/>
  <c r="J40" i="10"/>
  <c r="J43" i="10" s="1"/>
  <c r="K6" i="10"/>
  <c r="K5" i="10" s="1"/>
  <c r="J32" i="10"/>
  <c r="G89" i="29"/>
  <c r="K6" i="20"/>
  <c r="K5" i="20" s="1"/>
  <c r="J5" i="20"/>
  <c r="F136" i="2"/>
  <c r="F137" i="2"/>
  <c r="L50" i="2"/>
  <c r="K6" i="29"/>
  <c r="K5" i="29" s="1"/>
  <c r="J22" i="29"/>
  <c r="I79" i="2"/>
  <c r="H130" i="2"/>
  <c r="H132" i="2"/>
  <c r="H131" i="2"/>
  <c r="H118" i="2"/>
  <c r="H104" i="2"/>
  <c r="H103" i="2"/>
  <c r="H102" i="2"/>
  <c r="H129" i="2"/>
  <c r="H128" i="2"/>
  <c r="H105" i="2"/>
  <c r="H119" i="2"/>
  <c r="H133" i="2"/>
  <c r="H46" i="5"/>
  <c r="E51" i="29"/>
  <c r="E53" i="29" s="1"/>
  <c r="F125" i="2"/>
  <c r="F124" i="2"/>
  <c r="K82" i="15"/>
  <c r="K50" i="15"/>
  <c r="K5" i="17"/>
  <c r="L47" i="17"/>
  <c r="K6" i="4"/>
  <c r="K5" i="4" s="1"/>
  <c r="J5" i="4"/>
  <c r="J77" i="2"/>
  <c r="J78" i="2"/>
  <c r="K6" i="2"/>
  <c r="J5" i="2"/>
  <c r="L47" i="2"/>
  <c r="L51" i="2"/>
  <c r="L63" i="2"/>
  <c r="L58" i="2"/>
  <c r="L27" i="2"/>
  <c r="K6" i="27"/>
  <c r="J5" i="27"/>
  <c r="J5" i="11"/>
  <c r="K6" i="11"/>
  <c r="K5" i="11" s="1"/>
  <c r="J96" i="5"/>
  <c r="J90" i="5"/>
  <c r="J84" i="5"/>
  <c r="J99" i="5"/>
  <c r="J93" i="5"/>
  <c r="J87" i="5"/>
  <c r="J81" i="5"/>
  <c r="J58" i="5"/>
  <c r="J59" i="5" s="1"/>
  <c r="J5" i="5"/>
  <c r="J74" i="5"/>
  <c r="J75" i="5" s="1"/>
  <c r="J66" i="5"/>
  <c r="J67" i="5" s="1"/>
  <c r="J43" i="5" s="1"/>
  <c r="J70" i="5"/>
  <c r="J71" i="5" s="1"/>
  <c r="J54" i="5"/>
  <c r="J55" i="5" s="1"/>
  <c r="L55" i="5" s="1"/>
  <c r="J50" i="5"/>
  <c r="J51" i="5" s="1"/>
  <c r="J39" i="5" s="1"/>
  <c r="L39" i="5" s="1"/>
  <c r="J62" i="5"/>
  <c r="J63" i="5" s="1"/>
  <c r="J42" i="5" s="1"/>
  <c r="K6" i="5"/>
  <c r="L73" i="5"/>
  <c r="L14" i="5"/>
  <c r="L57" i="5"/>
  <c r="K6" i="1"/>
  <c r="J5" i="1"/>
  <c r="L41" i="2"/>
  <c r="L46" i="2"/>
  <c r="H88" i="29"/>
  <c r="H86" i="29"/>
  <c r="L53" i="5"/>
  <c r="G120" i="2"/>
  <c r="G134" i="2"/>
  <c r="L26" i="2"/>
  <c r="L53" i="2"/>
  <c r="G41" i="29" l="1"/>
  <c r="L51" i="5"/>
  <c r="L63" i="5"/>
  <c r="L42" i="2"/>
  <c r="J79" i="2"/>
  <c r="L67" i="5"/>
  <c r="K99" i="5"/>
  <c r="K93" i="5"/>
  <c r="K87" i="5"/>
  <c r="K81" i="5"/>
  <c r="K84" i="5"/>
  <c r="K74" i="5"/>
  <c r="K75" i="5" s="1"/>
  <c r="K45" i="5" s="1"/>
  <c r="K62" i="5"/>
  <c r="K63" i="5" s="1"/>
  <c r="K90" i="5"/>
  <c r="K96" i="5"/>
  <c r="K70" i="5"/>
  <c r="K71" i="5" s="1"/>
  <c r="K54" i="5"/>
  <c r="K55" i="5" s="1"/>
  <c r="K40" i="5" s="1"/>
  <c r="K58" i="5"/>
  <c r="K59" i="5" s="1"/>
  <c r="K41" i="5" s="1"/>
  <c r="K5" i="5"/>
  <c r="K66" i="5"/>
  <c r="K67" i="5" s="1"/>
  <c r="K50" i="5"/>
  <c r="K51" i="5" s="1"/>
  <c r="L49" i="5"/>
  <c r="L75" i="5"/>
  <c r="L12" i="5"/>
  <c r="L18" i="5" s="1"/>
  <c r="J44" i="5"/>
  <c r="L44" i="5" s="1"/>
  <c r="L71" i="5"/>
  <c r="J41" i="5"/>
  <c r="L59" i="5"/>
  <c r="F140" i="2"/>
  <c r="H120" i="2"/>
  <c r="K32" i="10"/>
  <c r="K40" i="10"/>
  <c r="K43" i="10" s="1"/>
  <c r="J35" i="10"/>
  <c r="J8" i="20"/>
  <c r="J41" i="17"/>
  <c r="J56" i="17" s="1"/>
  <c r="J39" i="29"/>
  <c r="J14" i="19"/>
  <c r="J28" i="3"/>
  <c r="J86" i="2"/>
  <c r="I119" i="2"/>
  <c r="I105" i="2"/>
  <c r="I132" i="2"/>
  <c r="I131" i="2"/>
  <c r="I130" i="2"/>
  <c r="I128" i="2"/>
  <c r="I118" i="2"/>
  <c r="I102" i="2"/>
  <c r="I104" i="2"/>
  <c r="I103" i="2"/>
  <c r="I133" i="2"/>
  <c r="I129" i="2"/>
  <c r="G137" i="2"/>
  <c r="G136" i="2"/>
  <c r="G124" i="2"/>
  <c r="G125" i="2"/>
  <c r="H89" i="29"/>
  <c r="L42" i="5"/>
  <c r="L43" i="5"/>
  <c r="K77" i="2"/>
  <c r="K78" i="2"/>
  <c r="K5" i="2"/>
  <c r="L77" i="2"/>
  <c r="L25" i="2"/>
  <c r="F141" i="2"/>
  <c r="I23" i="29"/>
  <c r="I34" i="29" s="1"/>
  <c r="I37" i="29" s="1"/>
  <c r="I88" i="29"/>
  <c r="I86" i="29"/>
  <c r="J45" i="5"/>
  <c r="L45" i="5" s="1"/>
  <c r="K5" i="27"/>
  <c r="K5" i="1"/>
  <c r="J40" i="5"/>
  <c r="H134" i="2"/>
  <c r="K22" i="29"/>
  <c r="F51" i="29"/>
  <c r="F53" i="29" s="1"/>
  <c r="J32" i="28"/>
  <c r="J35" i="28"/>
  <c r="K34" i="10" s="1"/>
  <c r="J36" i="28"/>
  <c r="J34" i="28"/>
  <c r="M55" i="5" l="1"/>
  <c r="J46" i="5"/>
  <c r="G141" i="2"/>
  <c r="L79" i="2"/>
  <c r="K79" i="2"/>
  <c r="N50" i="1" s="1"/>
  <c r="J23" i="29"/>
  <c r="J34" i="29" s="1"/>
  <c r="M75" i="5"/>
  <c r="G140" i="2"/>
  <c r="M59" i="5"/>
  <c r="I120" i="2"/>
  <c r="I125" i="2" s="1"/>
  <c r="I89" i="29"/>
  <c r="I49" i="29"/>
  <c r="I51" i="29" s="1"/>
  <c r="I53" i="29" s="1"/>
  <c r="I41" i="29"/>
  <c r="M56" i="1"/>
  <c r="M57" i="1"/>
  <c r="F142" i="2"/>
  <c r="K35" i="10"/>
  <c r="K8" i="20"/>
  <c r="K14" i="19"/>
  <c r="K28" i="3"/>
  <c r="N56" i="1" s="1"/>
  <c r="K39" i="29"/>
  <c r="K86" i="2"/>
  <c r="K41" i="17"/>
  <c r="K56" i="17" s="1"/>
  <c r="M50" i="1"/>
  <c r="M55" i="1"/>
  <c r="K39" i="5"/>
  <c r="M51" i="5"/>
  <c r="K42" i="5"/>
  <c r="M63" i="5"/>
  <c r="H136" i="2"/>
  <c r="H137" i="2"/>
  <c r="M40" i="5"/>
  <c r="L40" i="5"/>
  <c r="H125" i="2"/>
  <c r="H124" i="2"/>
  <c r="K43" i="5"/>
  <c r="M67" i="5"/>
  <c r="K44" i="5"/>
  <c r="M44" i="5" s="1"/>
  <c r="M71" i="5"/>
  <c r="M45" i="5"/>
  <c r="M51" i="1"/>
  <c r="M77" i="2"/>
  <c r="M54" i="1"/>
  <c r="I134" i="2"/>
  <c r="J101" i="2"/>
  <c r="J119" i="2"/>
  <c r="L119" i="2" s="1"/>
  <c r="J105" i="2"/>
  <c r="L105" i="2" s="1"/>
  <c r="J131" i="2"/>
  <c r="L131" i="2" s="1"/>
  <c r="J130" i="2"/>
  <c r="L130" i="2" s="1"/>
  <c r="J104" i="2"/>
  <c r="L104" i="2" s="1"/>
  <c r="J103" i="2"/>
  <c r="L103" i="2" s="1"/>
  <c r="J118" i="2"/>
  <c r="L118" i="2" s="1"/>
  <c r="J129" i="2"/>
  <c r="L129" i="2" s="1"/>
  <c r="J128" i="2"/>
  <c r="J133" i="2"/>
  <c r="L133" i="2" s="1"/>
  <c r="J102" i="2"/>
  <c r="L102" i="2" s="1"/>
  <c r="J132" i="2"/>
  <c r="L132" i="2" s="1"/>
  <c r="L56" i="17"/>
  <c r="M41" i="5"/>
  <c r="L41" i="5"/>
  <c r="G142" i="2" l="1"/>
  <c r="M79" i="2"/>
  <c r="I124" i="2"/>
  <c r="L120" i="2"/>
  <c r="K23" i="29"/>
  <c r="K34" i="29" s="1"/>
  <c r="L46" i="5"/>
  <c r="H141" i="2"/>
  <c r="M42" i="5"/>
  <c r="K46" i="5"/>
  <c r="M39" i="5"/>
  <c r="J134" i="2"/>
  <c r="L128" i="2"/>
  <c r="I136" i="2"/>
  <c r="I140" i="2" s="1"/>
  <c r="I137" i="2"/>
  <c r="I141" i="2" s="1"/>
  <c r="L134" i="2"/>
  <c r="H140" i="2"/>
  <c r="M56" i="17"/>
  <c r="M53" i="1"/>
  <c r="N53" i="1"/>
  <c r="J120" i="2"/>
  <c r="M43" i="5"/>
  <c r="N52" i="1"/>
  <c r="M52" i="1"/>
  <c r="K131" i="2"/>
  <c r="M131" i="2" s="1"/>
  <c r="K130" i="2"/>
  <c r="M130" i="2" s="1"/>
  <c r="K104" i="2"/>
  <c r="M104" i="2" s="1"/>
  <c r="K105" i="2"/>
  <c r="M105" i="2" s="1"/>
  <c r="K103" i="2"/>
  <c r="M103" i="2" s="1"/>
  <c r="K118" i="2"/>
  <c r="M118" i="2" s="1"/>
  <c r="K132" i="2"/>
  <c r="M132" i="2" s="1"/>
  <c r="K119" i="2"/>
  <c r="K129" i="2"/>
  <c r="M129" i="2" s="1"/>
  <c r="K128" i="2"/>
  <c r="K133" i="2"/>
  <c r="M133" i="2" s="1"/>
  <c r="K102" i="2"/>
  <c r="M102" i="2" s="1"/>
  <c r="N57" i="1"/>
  <c r="M61" i="1" l="1"/>
  <c r="M46" i="5"/>
  <c r="N54" i="1"/>
  <c r="J136" i="2"/>
  <c r="L136" i="2" s="1"/>
  <c r="J137" i="2"/>
  <c r="L137" i="2" s="1"/>
  <c r="M128" i="2"/>
  <c r="K134" i="2"/>
  <c r="J124" i="2"/>
  <c r="J125" i="2"/>
  <c r="H142" i="2"/>
  <c r="N51" i="1"/>
  <c r="K120" i="2"/>
  <c r="I142" i="2"/>
  <c r="N55" i="1"/>
  <c r="M119" i="2"/>
  <c r="M120" i="2" s="1"/>
  <c r="J141" i="2" l="1"/>
  <c r="L141" i="2" s="1"/>
  <c r="L125" i="2"/>
  <c r="K124" i="2"/>
  <c r="M124" i="2" s="1"/>
  <c r="K125" i="2"/>
  <c r="J140" i="2"/>
  <c r="L124" i="2"/>
  <c r="K136" i="2"/>
  <c r="M136" i="2" s="1"/>
  <c r="K137" i="2"/>
  <c r="M137" i="2" s="1"/>
  <c r="M134" i="2"/>
  <c r="M62" i="1"/>
  <c r="N61" i="1"/>
  <c r="K141" i="2" l="1"/>
  <c r="M141" i="2" s="1"/>
  <c r="K140" i="2"/>
  <c r="J142" i="2"/>
  <c r="L142" i="2" s="1"/>
  <c r="L140" i="2"/>
  <c r="M125" i="2"/>
  <c r="K142" i="2" l="1"/>
  <c r="M142" i="2" s="1"/>
  <c r="M140" i="2"/>
  <c r="D34" i="1" l="1"/>
  <c r="D38" i="1"/>
  <c r="D37" i="1"/>
  <c r="D33" i="1"/>
  <c r="D32" i="1"/>
  <c r="D31" i="1"/>
  <c r="D35" i="1"/>
  <c r="D36" i="1"/>
  <c r="D41" i="1"/>
  <c r="D12" i="1"/>
  <c r="D18" i="1"/>
  <c r="D19" i="1"/>
  <c r="D13" i="1"/>
  <c r="D16" i="1"/>
  <c r="D15" i="1"/>
  <c r="D14" i="1"/>
  <c r="D17" i="1"/>
  <c r="D22" i="1"/>
  <c r="D10" i="1" l="1"/>
  <c r="D29" i="1"/>
  <c r="N59" i="1" l="1"/>
  <c r="M59" i="1"/>
  <c r="D21" i="1"/>
  <c r="D40" i="1" l="1"/>
  <c r="M60" i="1"/>
  <c r="N60" i="1"/>
  <c r="D11" i="1" l="1"/>
  <c r="D20" i="1" s="1"/>
  <c r="D23" i="1" s="1"/>
  <c r="D30" i="1"/>
  <c r="D39" i="1" s="1"/>
  <c r="D42" i="1" s="1"/>
  <c r="D58" i="1"/>
  <c r="D63" i="1" s="1"/>
  <c r="M49" i="1" l="1"/>
  <c r="N49" i="1"/>
  <c r="E16" i="1" l="1"/>
  <c r="E17" i="1"/>
  <c r="E19" i="1"/>
  <c r="E12" i="1"/>
  <c r="E15" i="1"/>
  <c r="E18" i="1"/>
  <c r="E13" i="1"/>
  <c r="E14" i="1"/>
  <c r="E22" i="1"/>
  <c r="E11" i="1"/>
  <c r="E32" i="1"/>
  <c r="E33" i="1"/>
  <c r="E37" i="1"/>
  <c r="E36" i="1"/>
  <c r="E34" i="1"/>
  <c r="E35" i="1"/>
  <c r="E31" i="1"/>
  <c r="E38" i="1"/>
  <c r="E41" i="1"/>
  <c r="E30" i="1"/>
  <c r="F31" i="1" l="1"/>
  <c r="F37" i="1"/>
  <c r="F33" i="1"/>
  <c r="F32" i="1"/>
  <c r="F36" i="1"/>
  <c r="F34" i="1"/>
  <c r="F35" i="1"/>
  <c r="F38" i="1"/>
  <c r="F41" i="1"/>
  <c r="F30" i="1"/>
  <c r="F12" i="1"/>
  <c r="F17" i="1"/>
  <c r="F16" i="1"/>
  <c r="F18" i="1"/>
  <c r="F15" i="1"/>
  <c r="F19" i="1"/>
  <c r="F13" i="1"/>
  <c r="F14" i="1"/>
  <c r="F22" i="1"/>
  <c r="F11" i="1"/>
  <c r="E10" i="1"/>
  <c r="E20" i="1" s="1"/>
  <c r="E58" i="1"/>
  <c r="E29" i="1"/>
  <c r="E39" i="1" s="1"/>
  <c r="E63" i="1" l="1"/>
  <c r="G13" i="1"/>
  <c r="G19" i="1"/>
  <c r="G12" i="1"/>
  <c r="G16" i="1"/>
  <c r="G18" i="1"/>
  <c r="G14" i="1"/>
  <c r="G17" i="1"/>
  <c r="G15" i="1"/>
  <c r="G22" i="1"/>
  <c r="G11" i="1"/>
  <c r="F10" i="1"/>
  <c r="F20" i="1" s="1"/>
  <c r="F58" i="1"/>
  <c r="F29" i="1"/>
  <c r="F39" i="1" s="1"/>
  <c r="E21" i="1"/>
  <c r="E23" i="1" s="1"/>
  <c r="G37" i="1"/>
  <c r="G32" i="1"/>
  <c r="G33" i="1"/>
  <c r="G38" i="1"/>
  <c r="G36" i="1"/>
  <c r="G31" i="1"/>
  <c r="G35" i="1"/>
  <c r="G34" i="1"/>
  <c r="G41" i="1"/>
  <c r="G30" i="1"/>
  <c r="H19" i="1" l="1"/>
  <c r="H15" i="1"/>
  <c r="H14" i="1"/>
  <c r="H16" i="1"/>
  <c r="H17" i="1"/>
  <c r="H13" i="1"/>
  <c r="H18" i="1"/>
  <c r="H12" i="1"/>
  <c r="H22" i="1"/>
  <c r="H11" i="1"/>
  <c r="G29" i="1"/>
  <c r="G39" i="1" s="1"/>
  <c r="G10" i="1"/>
  <c r="G20" i="1" s="1"/>
  <c r="G58" i="1"/>
  <c r="H31" i="1"/>
  <c r="H38" i="1"/>
  <c r="H34" i="1"/>
  <c r="H36" i="1"/>
  <c r="H33" i="1"/>
  <c r="H32" i="1"/>
  <c r="H35" i="1"/>
  <c r="H37" i="1"/>
  <c r="H41" i="1"/>
  <c r="H30" i="1"/>
  <c r="E40" i="1" l="1"/>
  <c r="E42" i="1" s="1"/>
  <c r="F21" i="1"/>
  <c r="F23" i="1" s="1"/>
  <c r="I36" i="1"/>
  <c r="I32" i="1"/>
  <c r="I33" i="1"/>
  <c r="I38" i="1"/>
  <c r="I35" i="1"/>
  <c r="I37" i="1"/>
  <c r="I34" i="1"/>
  <c r="I31" i="1"/>
  <c r="I41" i="1"/>
  <c r="I30" i="1"/>
  <c r="M14" i="1"/>
  <c r="I13" i="1"/>
  <c r="I18" i="1"/>
  <c r="I14" i="1"/>
  <c r="I15" i="1"/>
  <c r="I17" i="1"/>
  <c r="I19" i="1"/>
  <c r="I16" i="1"/>
  <c r="I12" i="1"/>
  <c r="I22" i="1"/>
  <c r="I11" i="1"/>
  <c r="H58" i="1"/>
  <c r="H10" i="1"/>
  <c r="H20" i="1" s="1"/>
  <c r="H29" i="1"/>
  <c r="H39" i="1" s="1"/>
  <c r="M12" i="1" l="1"/>
  <c r="M15" i="1"/>
  <c r="G63" i="1"/>
  <c r="M18" i="1"/>
  <c r="M36" i="1"/>
  <c r="J36" i="1"/>
  <c r="J35" i="1"/>
  <c r="J37" i="1"/>
  <c r="J38" i="1"/>
  <c r="J32" i="1"/>
  <c r="J31" i="1"/>
  <c r="J34" i="1"/>
  <c r="J33" i="1"/>
  <c r="J41" i="1"/>
  <c r="J30" i="1"/>
  <c r="M31" i="1"/>
  <c r="M40" i="1"/>
  <c r="M30" i="1"/>
  <c r="M34" i="1"/>
  <c r="N34" i="1"/>
  <c r="M38" i="1"/>
  <c r="M32" i="1"/>
  <c r="M35" i="1"/>
  <c r="M13" i="1"/>
  <c r="J18" i="1"/>
  <c r="J16" i="1"/>
  <c r="J12" i="1"/>
  <c r="J17" i="1"/>
  <c r="J13" i="1"/>
  <c r="J19" i="1"/>
  <c r="J15" i="1"/>
  <c r="J14" i="1"/>
  <c r="J22" i="1"/>
  <c r="J11" i="1"/>
  <c r="M11" i="1"/>
  <c r="M41" i="1"/>
  <c r="I29" i="1"/>
  <c r="I39" i="1" s="1"/>
  <c r="I10" i="1"/>
  <c r="I20" i="1" s="1"/>
  <c r="I58" i="1"/>
  <c r="M19" i="1"/>
  <c r="M22" i="1"/>
  <c r="H63" i="1"/>
  <c r="M21" i="1"/>
  <c r="M16" i="1"/>
  <c r="N19" i="1"/>
  <c r="M29" i="1"/>
  <c r="M17" i="1"/>
  <c r="M33" i="1"/>
  <c r="G40" i="1" l="1"/>
  <c r="G42" i="1" s="1"/>
  <c r="N37" i="1"/>
  <c r="H40" i="1"/>
  <c r="H42" i="1" s="1"/>
  <c r="N31" i="1"/>
  <c r="H21" i="1"/>
  <c r="H23" i="1" s="1"/>
  <c r="N40" i="1"/>
  <c r="M39" i="1"/>
  <c r="M42" i="1" s="1"/>
  <c r="N11" i="1"/>
  <c r="K18" i="1"/>
  <c r="K16" i="1"/>
  <c r="K15" i="1"/>
  <c r="K19" i="1"/>
  <c r="K14" i="1"/>
  <c r="K13" i="1"/>
  <c r="K12" i="1"/>
  <c r="K17" i="1"/>
  <c r="K22" i="1"/>
  <c r="K11" i="1"/>
  <c r="N14" i="1"/>
  <c r="N18" i="1"/>
  <c r="N21" i="1"/>
  <c r="N16" i="1"/>
  <c r="N12" i="1"/>
  <c r="N17" i="1"/>
  <c r="N22" i="1"/>
  <c r="N15" i="1"/>
  <c r="J10" i="1"/>
  <c r="J20" i="1" s="1"/>
  <c r="J58" i="1"/>
  <c r="J29" i="1"/>
  <c r="J39" i="1" s="1"/>
  <c r="M48" i="1"/>
  <c r="M58" i="1" s="1"/>
  <c r="M63" i="1" s="1"/>
  <c r="N29" i="1"/>
  <c r="M10" i="1"/>
  <c r="M20" i="1" s="1"/>
  <c r="M23" i="1" s="1"/>
  <c r="N13" i="1"/>
  <c r="K34" i="1"/>
  <c r="K35" i="1"/>
  <c r="K33" i="1"/>
  <c r="K38" i="1"/>
  <c r="K32" i="1"/>
  <c r="K31" i="1"/>
  <c r="K37" i="1"/>
  <c r="K36" i="1"/>
  <c r="K41" i="1"/>
  <c r="K30" i="1"/>
  <c r="N30" i="1"/>
  <c r="N35" i="1"/>
  <c r="N36" i="1"/>
  <c r="N38" i="1"/>
  <c r="N32" i="1"/>
  <c r="N41" i="1"/>
  <c r="I21" i="1" l="1"/>
  <c r="I23" i="1" s="1"/>
  <c r="N39" i="1"/>
  <c r="N42" i="1" s="1"/>
  <c r="N48" i="1"/>
  <c r="N58" i="1" s="1"/>
  <c r="K10" i="1"/>
  <c r="K20" i="1" s="1"/>
  <c r="K29" i="1"/>
  <c r="K39" i="1" s="1"/>
  <c r="K58" i="1"/>
  <c r="N10" i="1"/>
  <c r="N20" i="1" s="1"/>
  <c r="N23" i="1" s="1"/>
  <c r="I40" i="1" l="1"/>
  <c r="I42" i="1" s="1"/>
  <c r="J63" i="1" l="1"/>
  <c r="K40" i="1" l="1"/>
  <c r="K42" i="1" s="1"/>
  <c r="K63" i="1" l="1"/>
  <c r="K21" i="1"/>
  <c r="K23" i="1" s="1"/>
  <c r="D28" i="17" l="1"/>
  <c r="D30" i="17" s="1"/>
  <c r="F28" i="17"/>
  <c r="F30" i="17" s="1"/>
  <c r="D42" i="27"/>
  <c r="H42" i="27"/>
  <c r="I28" i="17"/>
  <c r="I30" i="17" s="1"/>
  <c r="E28" i="17"/>
  <c r="E30" i="17" s="1"/>
  <c r="K42" i="27"/>
  <c r="G42" i="27"/>
  <c r="H28" i="17"/>
  <c r="H30" i="17" s="1"/>
  <c r="J28" i="17"/>
  <c r="J30" i="17" s="1"/>
  <c r="J42" i="27"/>
  <c r="F42" i="27"/>
  <c r="G28" i="17"/>
  <c r="G30" i="17" s="1"/>
  <c r="K28" i="17"/>
  <c r="I42" i="27"/>
  <c r="E42" i="27"/>
  <c r="E31" i="17" l="1"/>
  <c r="E33" i="17" s="1"/>
  <c r="F31" i="17"/>
  <c r="F33" i="17" s="1"/>
  <c r="G31" i="17"/>
  <c r="G33" i="17" s="1"/>
  <c r="H31" i="17"/>
  <c r="H33" i="17" s="1"/>
  <c r="I31" i="17"/>
  <c r="I33" i="17" s="1"/>
  <c r="D31" i="17"/>
  <c r="D33" i="17" s="1"/>
  <c r="K45" i="27"/>
  <c r="E44" i="27"/>
  <c r="E48" i="27" s="1"/>
  <c r="F47" i="27" s="1"/>
  <c r="E45" i="27"/>
  <c r="F44" i="27"/>
  <c r="F48" i="27" s="1"/>
  <c r="G47" i="27" s="1"/>
  <c r="F45" i="27"/>
  <c r="G44" i="27"/>
  <c r="G48" i="27" s="1"/>
  <c r="H47" i="27" s="1"/>
  <c r="G45" i="27"/>
  <c r="H45" i="27"/>
  <c r="H44" i="27"/>
  <c r="H48" i="27" s="1"/>
  <c r="I47" i="27" s="1"/>
  <c r="I45" i="27"/>
  <c r="I44" i="27"/>
  <c r="I48" i="27" s="1"/>
  <c r="J47" i="27" s="1"/>
  <c r="J44" i="27"/>
  <c r="J48" i="27" s="1"/>
  <c r="K47" i="27" s="1"/>
  <c r="J45" i="27"/>
  <c r="D44" i="27"/>
  <c r="D48" i="27" s="1"/>
  <c r="D45" i="27"/>
  <c r="J54" i="27" l="1"/>
  <c r="H54" i="27"/>
  <c r="H39" i="17" s="1"/>
  <c r="G54" i="27"/>
  <c r="E47" i="27"/>
  <c r="E54" i="27" s="1"/>
  <c r="D54" i="27"/>
  <c r="I54" i="27"/>
  <c r="F54" i="27"/>
  <c r="J39" i="17" l="1"/>
  <c r="J43" i="17" s="1"/>
  <c r="H65" i="17"/>
  <c r="H43" i="17"/>
  <c r="G39" i="17"/>
  <c r="D39" i="17"/>
  <c r="F39" i="17"/>
  <c r="I39" i="17"/>
  <c r="E39" i="17"/>
  <c r="J65" i="17" l="1"/>
  <c r="I65" i="17"/>
  <c r="I43" i="17"/>
  <c r="E65" i="17"/>
  <c r="E43" i="17"/>
  <c r="G65" i="17"/>
  <c r="G43" i="17"/>
  <c r="D65" i="17"/>
  <c r="D43" i="17"/>
  <c r="F65" i="17"/>
  <c r="F43" i="17"/>
  <c r="L43" i="17" l="1"/>
  <c r="F63" i="1" l="1"/>
  <c r="I63" i="1"/>
  <c r="G21" i="1"/>
  <c r="G23" i="1" s="1"/>
  <c r="K44" i="27" l="1"/>
  <c r="K48" i="27" s="1"/>
  <c r="K54" i="27" s="1"/>
  <c r="K30" i="17" l="1"/>
  <c r="K39" i="17" l="1"/>
  <c r="K33" i="17" l="1"/>
  <c r="K43" i="17"/>
  <c r="K65" i="17"/>
  <c r="H68" i="29" l="1"/>
  <c r="D68" i="29"/>
  <c r="G68" i="29"/>
  <c r="I68" i="29"/>
  <c r="J33" i="17"/>
  <c r="M43" i="17"/>
  <c r="I81" i="29" l="1"/>
  <c r="I70" i="29"/>
  <c r="I79" i="29"/>
  <c r="D70" i="29"/>
  <c r="D79" i="29"/>
  <c r="D81" i="29"/>
  <c r="K68" i="29"/>
  <c r="E68" i="29"/>
  <c r="G70" i="29"/>
  <c r="G81" i="29"/>
  <c r="G79" i="29"/>
  <c r="H70" i="29"/>
  <c r="H81" i="29"/>
  <c r="H79" i="29"/>
  <c r="I83" i="29" l="1"/>
  <c r="H83" i="29"/>
  <c r="F68" i="29"/>
  <c r="D74" i="29"/>
  <c r="G74" i="29"/>
  <c r="D83" i="29"/>
  <c r="J68" i="29"/>
  <c r="H74" i="29"/>
  <c r="G83" i="29"/>
  <c r="E70" i="29"/>
  <c r="E79" i="29"/>
  <c r="E81" i="29"/>
  <c r="K70" i="29"/>
  <c r="I74" i="29"/>
  <c r="E83" i="29" l="1"/>
  <c r="J70" i="29"/>
  <c r="E74" i="29"/>
  <c r="K74" i="29"/>
  <c r="F79" i="29"/>
  <c r="F81" i="29"/>
  <c r="F70" i="29"/>
  <c r="J74" i="29" l="1"/>
  <c r="F83" i="29"/>
  <c r="F74" i="29"/>
  <c r="J86" i="29" l="1"/>
  <c r="K86" i="29"/>
  <c r="J37" i="29" l="1"/>
  <c r="K37" i="29"/>
  <c r="K41" i="29" l="1"/>
  <c r="K79" i="29" s="1"/>
  <c r="K49" i="29"/>
  <c r="J49" i="29"/>
  <c r="J41" i="29"/>
  <c r="J79" i="29" s="1"/>
  <c r="J88" i="29" l="1"/>
  <c r="J89" i="29" s="1"/>
  <c r="J50" i="29"/>
  <c r="J51" i="29" s="1"/>
  <c r="J53" i="29" s="1"/>
  <c r="J81" i="29" s="1"/>
  <c r="J83" i="29" s="1"/>
  <c r="K88" i="29" l="1"/>
  <c r="K89" i="29" s="1"/>
  <c r="K50" i="29"/>
  <c r="K51" i="29" s="1"/>
  <c r="K53" i="29" s="1"/>
  <c r="K81" i="29" s="1"/>
  <c r="K83" i="29" s="1"/>
  <c r="N62" i="1" s="1"/>
  <c r="N63" i="1" s="1"/>
  <c r="D90" i="2" l="1"/>
  <c r="D82" i="15" l="1"/>
  <c r="D81" i="15"/>
  <c r="I101" i="2" l="1"/>
  <c r="G101" i="2"/>
  <c r="H101" i="2"/>
  <c r="E101" i="2"/>
  <c r="D101" i="2" l="1"/>
  <c r="L23" i="2"/>
  <c r="G90" i="2" l="1"/>
  <c r="K101" i="2"/>
  <c r="E90" i="2"/>
  <c r="M23" i="2"/>
  <c r="K90" i="2"/>
  <c r="F101" i="2"/>
  <c r="H90" i="2"/>
  <c r="M12" i="2" l="1"/>
  <c r="I90" i="2"/>
  <c r="L12" i="2"/>
  <c r="L101" i="2"/>
  <c r="M101" i="2"/>
  <c r="K81" i="15"/>
  <c r="J90" i="2"/>
  <c r="H82" i="15"/>
  <c r="H81" i="15"/>
  <c r="E82" i="15"/>
  <c r="E81" i="15"/>
  <c r="F90" i="2"/>
  <c r="G82" i="15"/>
  <c r="G81" i="15"/>
  <c r="M90" i="2" l="1"/>
  <c r="L90" i="2"/>
  <c r="F81" i="15"/>
  <c r="F82" i="15"/>
  <c r="J82" i="15"/>
  <c r="J81" i="15"/>
  <c r="I81" i="15"/>
  <c r="I82" i="15"/>
  <c r="D24" i="10" l="1"/>
  <c r="G21" i="10" l="1"/>
  <c r="H21" i="10"/>
  <c r="F21" i="10" l="1"/>
  <c r="I21" i="10"/>
  <c r="K21" i="10"/>
  <c r="J21" i="10"/>
  <c r="E21" i="10" l="1"/>
  <c r="D21" i="10"/>
  <c r="D31" i="10"/>
  <c r="G24" i="10" l="1"/>
  <c r="G31" i="10"/>
  <c r="E24" i="10"/>
  <c r="E31" i="10"/>
  <c r="F24" i="10" l="1"/>
  <c r="F31" i="10"/>
  <c r="H24" i="10"/>
  <c r="H31" i="10"/>
  <c r="I24" i="10" l="1"/>
  <c r="I31" i="10"/>
  <c r="J24" i="10"/>
  <c r="J31" i="10"/>
  <c r="K24" i="10" l="1"/>
  <c r="K31" i="10"/>
  <c r="F40" i="1" l="1"/>
  <c r="F42" i="1" s="1"/>
  <c r="J21" i="1" l="1"/>
  <c r="J23" i="1" s="1"/>
  <c r="D18" i="10" l="1"/>
  <c r="D29" i="10" s="1"/>
  <c r="D47" i="10" l="1"/>
  <c r="D38" i="10"/>
  <c r="D56" i="27" s="1"/>
  <c r="E16" i="10"/>
  <c r="E18" i="10" s="1"/>
  <c r="E29" i="10" s="1"/>
  <c r="D32" i="10"/>
  <c r="F16" i="10" l="1"/>
  <c r="F18" i="10" s="1"/>
  <c r="F29" i="10" s="1"/>
  <c r="E38" i="10"/>
  <c r="E56" i="27" s="1"/>
  <c r="E47" i="10"/>
  <c r="E32" i="10"/>
  <c r="D55" i="27"/>
  <c r="D57" i="27"/>
  <c r="D63" i="27"/>
  <c r="D46" i="10"/>
  <c r="D45" i="10"/>
  <c r="E45" i="10" l="1"/>
  <c r="E63" i="27"/>
  <c r="E46" i="10"/>
  <c r="D54" i="10"/>
  <c r="D50" i="10"/>
  <c r="D58" i="10" s="1"/>
  <c r="E55" i="27"/>
  <c r="E57" i="27"/>
  <c r="D61" i="27"/>
  <c r="D64" i="27" s="1"/>
  <c r="D62" i="27"/>
  <c r="D47" i="29"/>
  <c r="D59" i="27"/>
  <c r="D53" i="10"/>
  <c r="D55" i="10" s="1"/>
  <c r="D49" i="10"/>
  <c r="G16" i="10"/>
  <c r="G18" i="10" s="1"/>
  <c r="G29" i="10" s="1"/>
  <c r="F47" i="10"/>
  <c r="F32" i="10"/>
  <c r="F38" i="10"/>
  <c r="E50" i="10" l="1"/>
  <c r="E58" i="10" s="1"/>
  <c r="E54" i="10"/>
  <c r="D66" i="27"/>
  <c r="D63" i="17"/>
  <c r="H16" i="10"/>
  <c r="H18" i="10" s="1"/>
  <c r="H29" i="10" s="1"/>
  <c r="G32" i="10"/>
  <c r="G38" i="10"/>
  <c r="G56" i="27" s="1"/>
  <c r="G47" i="10"/>
  <c r="E62" i="27"/>
  <c r="E61" i="27"/>
  <c r="E64" i="27" s="1"/>
  <c r="F46" i="10"/>
  <c r="F45" i="10"/>
  <c r="F63" i="27"/>
  <c r="E47" i="29"/>
  <c r="E59" i="27"/>
  <c r="F56" i="27"/>
  <c r="D57" i="10"/>
  <c r="D59" i="10" s="1"/>
  <c r="D51" i="10"/>
  <c r="D80" i="17"/>
  <c r="E49" i="10"/>
  <c r="E53" i="10"/>
  <c r="E55" i="10" s="1"/>
  <c r="G57" i="27" l="1"/>
  <c r="G55" i="27"/>
  <c r="D86" i="17"/>
  <c r="D70" i="17"/>
  <c r="D66" i="17"/>
  <c r="D67" i="17" s="1"/>
  <c r="D69" i="17" s="1"/>
  <c r="F50" i="10"/>
  <c r="F58" i="10" s="1"/>
  <c r="F54" i="10"/>
  <c r="G45" i="10"/>
  <c r="G46" i="10"/>
  <c r="G63" i="27"/>
  <c r="E66" i="27"/>
  <c r="E63" i="17"/>
  <c r="F57" i="27"/>
  <c r="F62" i="27" s="1"/>
  <c r="F55" i="27"/>
  <c r="F49" i="10"/>
  <c r="F53" i="10"/>
  <c r="E80" i="17"/>
  <c r="E57" i="10"/>
  <c r="E59" i="10" s="1"/>
  <c r="E51" i="10"/>
  <c r="H38" i="10"/>
  <c r="H56" i="27" s="1"/>
  <c r="I16" i="10"/>
  <c r="I18" i="10" s="1"/>
  <c r="I29" i="10" s="1"/>
  <c r="H47" i="10"/>
  <c r="H32" i="10"/>
  <c r="F55" i="10" l="1"/>
  <c r="F59" i="27"/>
  <c r="F47" i="29"/>
  <c r="G54" i="10"/>
  <c r="G50" i="10"/>
  <c r="G58" i="10" s="1"/>
  <c r="D88" i="17"/>
  <c r="D90" i="17" s="1"/>
  <c r="H57" i="27"/>
  <c r="H55" i="27"/>
  <c r="H63" i="27"/>
  <c r="H45" i="10"/>
  <c r="H46" i="10"/>
  <c r="F61" i="27"/>
  <c r="F64" i="27" s="1"/>
  <c r="E66" i="17"/>
  <c r="E67" i="17" s="1"/>
  <c r="E69" i="17" s="1"/>
  <c r="E70" i="17"/>
  <c r="G53" i="10"/>
  <c r="G55" i="10" s="1"/>
  <c r="G49" i="10"/>
  <c r="G61" i="27"/>
  <c r="G64" i="27" s="1"/>
  <c r="G62" i="27"/>
  <c r="E86" i="17"/>
  <c r="I47" i="10"/>
  <c r="I38" i="10"/>
  <c r="I56" i="27" s="1"/>
  <c r="J16" i="10"/>
  <c r="J18" i="10" s="1"/>
  <c r="J29" i="10" s="1"/>
  <c r="I32" i="10"/>
  <c r="F51" i="10"/>
  <c r="F80" i="17"/>
  <c r="F57" i="10"/>
  <c r="F59" i="10" s="1"/>
  <c r="G47" i="29"/>
  <c r="G59" i="27"/>
  <c r="E88" i="17" l="1"/>
  <c r="E90" i="17" s="1"/>
  <c r="F86" i="17"/>
  <c r="I55" i="27"/>
  <c r="I57" i="27"/>
  <c r="H49" i="10"/>
  <c r="H53" i="10"/>
  <c r="I63" i="27"/>
  <c r="I45" i="10"/>
  <c r="I46" i="10"/>
  <c r="G66" i="27"/>
  <c r="G63" i="17"/>
  <c r="H62" i="27"/>
  <c r="H61" i="27"/>
  <c r="H64" i="27" s="1"/>
  <c r="G80" i="17"/>
  <c r="G57" i="10"/>
  <c r="G59" i="10" s="1"/>
  <c r="G51" i="10"/>
  <c r="F63" i="17"/>
  <c r="F66" i="27"/>
  <c r="J38" i="10"/>
  <c r="J56" i="27" s="1"/>
  <c r="K16" i="10"/>
  <c r="K18" i="10" s="1"/>
  <c r="K29" i="10" s="1"/>
  <c r="J47" i="10"/>
  <c r="H54" i="10"/>
  <c r="H50" i="10"/>
  <c r="H58" i="10" s="1"/>
  <c r="H47" i="29"/>
  <c r="H59" i="27"/>
  <c r="J63" i="27" l="1"/>
  <c r="J46" i="10"/>
  <c r="J45" i="10"/>
  <c r="F66" i="17"/>
  <c r="F67" i="17" s="1"/>
  <c r="F69" i="17" s="1"/>
  <c r="F70" i="17"/>
  <c r="K47" i="10"/>
  <c r="K38" i="10"/>
  <c r="K56" i="27" s="1"/>
  <c r="H66" i="27"/>
  <c r="H63" i="17"/>
  <c r="I54" i="10"/>
  <c r="I50" i="10"/>
  <c r="I58" i="10" s="1"/>
  <c r="H80" i="17"/>
  <c r="H51" i="10"/>
  <c r="H57" i="10"/>
  <c r="H59" i="10" s="1"/>
  <c r="J57" i="27"/>
  <c r="J55" i="27"/>
  <c r="I53" i="10"/>
  <c r="I49" i="10"/>
  <c r="I59" i="27"/>
  <c r="I47" i="29"/>
  <c r="G86" i="17"/>
  <c r="G66" i="17"/>
  <c r="G67" i="17" s="1"/>
  <c r="G69" i="17" s="1"/>
  <c r="G70" i="17"/>
  <c r="I62" i="27"/>
  <c r="I61" i="27"/>
  <c r="I64" i="27" s="1"/>
  <c r="H55" i="10"/>
  <c r="H86" i="17" l="1"/>
  <c r="F88" i="17"/>
  <c r="J47" i="29"/>
  <c r="J59" i="27"/>
  <c r="K57" i="27"/>
  <c r="K55" i="27"/>
  <c r="J49" i="10"/>
  <c r="J53" i="10"/>
  <c r="I66" i="27"/>
  <c r="I63" i="17"/>
  <c r="I80" i="17"/>
  <c r="I51" i="10"/>
  <c r="I57" i="10"/>
  <c r="I59" i="10" s="1"/>
  <c r="K63" i="27"/>
  <c r="K46" i="10"/>
  <c r="K45" i="10"/>
  <c r="J50" i="10"/>
  <c r="J58" i="10" s="1"/>
  <c r="J54" i="10"/>
  <c r="G88" i="17"/>
  <c r="G90" i="17" s="1"/>
  <c r="I55" i="10"/>
  <c r="H66" i="17"/>
  <c r="H67" i="17" s="1"/>
  <c r="H69" i="17" s="1"/>
  <c r="H70" i="17"/>
  <c r="J62" i="27"/>
  <c r="M37" i="1" s="1"/>
  <c r="J61" i="27"/>
  <c r="J64" i="27" s="1"/>
  <c r="H88" i="17" l="1"/>
  <c r="H90" i="17" s="1"/>
  <c r="F90" i="17"/>
  <c r="J63" i="17"/>
  <c r="J66" i="27"/>
  <c r="K49" i="10"/>
  <c r="K53" i="10"/>
  <c r="K54" i="10"/>
  <c r="K50" i="10"/>
  <c r="K58" i="10" s="1"/>
  <c r="I86" i="17"/>
  <c r="J55" i="10"/>
  <c r="I66" i="17"/>
  <c r="I67" i="17" s="1"/>
  <c r="I69" i="17" s="1"/>
  <c r="I70" i="17"/>
  <c r="K59" i="27"/>
  <c r="K47" i="29"/>
  <c r="K61" i="27"/>
  <c r="K64" i="27" s="1"/>
  <c r="K62" i="27"/>
  <c r="N33" i="1" s="1"/>
  <c r="J57" i="10"/>
  <c r="J59" i="10" s="1"/>
  <c r="J80" i="17"/>
  <c r="L80" i="17" s="1"/>
  <c r="J51" i="10"/>
  <c r="K55" i="10" l="1"/>
  <c r="J66" i="17"/>
  <c r="J67" i="17" s="1"/>
  <c r="J69" i="17" s="1"/>
  <c r="J70" i="17"/>
  <c r="L70" i="17" s="1"/>
  <c r="L69" i="17"/>
  <c r="I88" i="17"/>
  <c r="I90" i="17" s="1"/>
  <c r="K63" i="17"/>
  <c r="K66" i="27"/>
  <c r="J86" i="17"/>
  <c r="K57" i="10"/>
  <c r="K59" i="10" s="1"/>
  <c r="K80" i="17"/>
  <c r="K51" i="10"/>
  <c r="J88" i="17" l="1"/>
  <c r="L88" i="17" s="1"/>
  <c r="K66" i="17"/>
  <c r="K67" i="17" s="1"/>
  <c r="K69" i="17" s="1"/>
  <c r="M69" i="17" s="1"/>
  <c r="K70" i="17"/>
  <c r="M70" i="17" s="1"/>
  <c r="K86" i="17"/>
  <c r="L86" i="17"/>
  <c r="J90" i="17"/>
  <c r="J40" i="1" s="1"/>
  <c r="J42" i="1" s="1"/>
  <c r="M80" i="17"/>
  <c r="K88" i="17" l="1"/>
  <c r="M88" i="17" s="1"/>
  <c r="M86" i="17"/>
  <c r="L90" i="17"/>
  <c r="K90" i="17" l="1"/>
  <c r="M90" i="17" s="1"/>
  <c r="D91" i="2" l="1"/>
  <c r="D14" i="2"/>
  <c r="D18" i="2" l="1"/>
  <c r="D19" i="2"/>
  <c r="D92" i="2"/>
  <c r="D96" i="2" l="1"/>
  <c r="D97" i="2"/>
  <c r="G91" i="2" l="1"/>
  <c r="G92" i="2" s="1"/>
  <c r="G14" i="2"/>
  <c r="H91" i="2"/>
  <c r="H92" i="2" s="1"/>
  <c r="H14" i="2"/>
  <c r="E91" i="2"/>
  <c r="E14" i="2"/>
  <c r="M13" i="2"/>
  <c r="L13" i="2"/>
  <c r="L14" i="2" s="1"/>
  <c r="I91" i="2"/>
  <c r="I92" i="2" s="1"/>
  <c r="I14" i="2"/>
  <c r="F91" i="2"/>
  <c r="F92" i="2" s="1"/>
  <c r="F14" i="2"/>
  <c r="J91" i="2"/>
  <c r="J92" i="2" s="1"/>
  <c r="J14" i="2"/>
  <c r="K91" i="2"/>
  <c r="K92" i="2" s="1"/>
  <c r="K14" i="2"/>
  <c r="M14" i="2" l="1"/>
  <c r="J19" i="2"/>
  <c r="J18" i="2"/>
  <c r="I18" i="2"/>
  <c r="I19" i="2"/>
  <c r="E92" i="2"/>
  <c r="M91" i="2"/>
  <c r="M92" i="2" s="1"/>
  <c r="L91" i="2"/>
  <c r="L92" i="2" s="1"/>
  <c r="H18" i="2"/>
  <c r="H19" i="2"/>
  <c r="H97" i="2"/>
  <c r="H96" i="2"/>
  <c r="J97" i="2"/>
  <c r="J96" i="2"/>
  <c r="I96" i="2"/>
  <c r="I97" i="2"/>
  <c r="K19" i="2"/>
  <c r="K18" i="2"/>
  <c r="F19" i="2"/>
  <c r="F18" i="2"/>
  <c r="G18" i="2"/>
  <c r="G19" i="2"/>
  <c r="K97" i="2"/>
  <c r="K96" i="2"/>
  <c r="F96" i="2"/>
  <c r="F97" i="2"/>
  <c r="E18" i="2"/>
  <c r="E19" i="2"/>
  <c r="G97" i="2"/>
  <c r="G96" i="2"/>
  <c r="L19" i="2" l="1"/>
  <c r="M19" i="2"/>
  <c r="M18" i="2"/>
  <c r="L18" i="2"/>
  <c r="E97" i="2"/>
  <c r="E96" i="2"/>
  <c r="M97" i="2" l="1"/>
  <c r="L97" i="2"/>
  <c r="L96" i="2"/>
  <c r="M96" i="2"/>
  <c r="H100" i="2" l="1"/>
  <c r="H106" i="2" s="1"/>
  <c r="H28" i="2"/>
  <c r="F100" i="2"/>
  <c r="F106" i="2" s="1"/>
  <c r="F28" i="2"/>
  <c r="D100" i="2"/>
  <c r="D28" i="2"/>
  <c r="J100" i="2"/>
  <c r="J106" i="2" s="1"/>
  <c r="J28" i="2"/>
  <c r="F31" i="2" l="1"/>
  <c r="F30" i="2"/>
  <c r="F34" i="2" s="1"/>
  <c r="G100" i="2"/>
  <c r="G106" i="2" s="1"/>
  <c r="G28" i="2"/>
  <c r="E100" i="2"/>
  <c r="E28" i="2"/>
  <c r="M22" i="2"/>
  <c r="F109" i="2"/>
  <c r="F113" i="2" s="1"/>
  <c r="F148" i="2" s="1"/>
  <c r="F108" i="2"/>
  <c r="F112" i="2" s="1"/>
  <c r="J109" i="2"/>
  <c r="J113" i="2" s="1"/>
  <c r="J148" i="2" s="1"/>
  <c r="J108" i="2"/>
  <c r="J112" i="2" s="1"/>
  <c r="I100" i="2"/>
  <c r="I106" i="2" s="1"/>
  <c r="I28" i="2"/>
  <c r="K100" i="2"/>
  <c r="K106" i="2" s="1"/>
  <c r="K28" i="2"/>
  <c r="D30" i="2"/>
  <c r="D31" i="2"/>
  <c r="L28" i="2"/>
  <c r="J30" i="2"/>
  <c r="J34" i="2" s="1"/>
  <c r="J31" i="2"/>
  <c r="J35" i="2" s="1"/>
  <c r="J70" i="2" s="1"/>
  <c r="L22" i="2"/>
  <c r="H30" i="2"/>
  <c r="H34" i="2" s="1"/>
  <c r="H31" i="2"/>
  <c r="H35" i="2" s="1"/>
  <c r="H70" i="2" s="1"/>
  <c r="D106" i="2"/>
  <c r="H108" i="2"/>
  <c r="H112" i="2" s="1"/>
  <c r="H109" i="2"/>
  <c r="H113" i="2" s="1"/>
  <c r="H148" i="2" s="1"/>
  <c r="M28" i="2" l="1"/>
  <c r="D108" i="2"/>
  <c r="D109" i="2"/>
  <c r="J69" i="2"/>
  <c r="J71" i="2" s="1"/>
  <c r="J36" i="2"/>
  <c r="D34" i="2"/>
  <c r="I109" i="2"/>
  <c r="I113" i="2" s="1"/>
  <c r="I148" i="2" s="1"/>
  <c r="I108" i="2"/>
  <c r="I112" i="2" s="1"/>
  <c r="G30" i="2"/>
  <c r="G34" i="2" s="1"/>
  <c r="G31" i="2"/>
  <c r="G35" i="2" s="1"/>
  <c r="G70" i="2" s="1"/>
  <c r="H114" i="2"/>
  <c r="H147" i="2"/>
  <c r="H149" i="2" s="1"/>
  <c r="H69" i="2"/>
  <c r="H71" i="2" s="1"/>
  <c r="H36" i="2"/>
  <c r="K30" i="2"/>
  <c r="K31" i="2"/>
  <c r="K35" i="2" s="1"/>
  <c r="K70" i="2" s="1"/>
  <c r="J147" i="2"/>
  <c r="J149" i="2" s="1"/>
  <c r="J114" i="2"/>
  <c r="G109" i="2"/>
  <c r="G113" i="2" s="1"/>
  <c r="G148" i="2" s="1"/>
  <c r="G108" i="2"/>
  <c r="G112" i="2" s="1"/>
  <c r="K108" i="2"/>
  <c r="K109" i="2"/>
  <c r="E31" i="2"/>
  <c r="E35" i="2" s="1"/>
  <c r="E70" i="2" s="1"/>
  <c r="E30" i="2"/>
  <c r="E34" i="2" s="1"/>
  <c r="F69" i="2"/>
  <c r="M100" i="2"/>
  <c r="D35" i="2"/>
  <c r="I31" i="2"/>
  <c r="I35" i="2" s="1"/>
  <c r="I70" i="2" s="1"/>
  <c r="I30" i="2"/>
  <c r="I34" i="2" s="1"/>
  <c r="F147" i="2"/>
  <c r="F149" i="2" s="1"/>
  <c r="F114" i="2"/>
  <c r="L100" i="2"/>
  <c r="E106" i="2"/>
  <c r="F35" i="2"/>
  <c r="F70" i="2" s="1"/>
  <c r="M106" i="2" l="1"/>
  <c r="L106" i="2"/>
  <c r="L30" i="2"/>
  <c r="M31" i="2"/>
  <c r="L31" i="2"/>
  <c r="F36" i="2"/>
  <c r="K113" i="2"/>
  <c r="K148" i="2" s="1"/>
  <c r="D69" i="2"/>
  <c r="D36" i="2"/>
  <c r="L34" i="2"/>
  <c r="D70" i="2"/>
  <c r="L35" i="2"/>
  <c r="M35" i="2"/>
  <c r="E69" i="2"/>
  <c r="E71" i="2" s="1"/>
  <c r="E36" i="2"/>
  <c r="G114" i="2"/>
  <c r="G147" i="2"/>
  <c r="G149" i="2" s="1"/>
  <c r="I114" i="2"/>
  <c r="I147" i="2"/>
  <c r="I149" i="2" s="1"/>
  <c r="D113" i="2"/>
  <c r="F71" i="2"/>
  <c r="K112" i="2"/>
  <c r="G69" i="2"/>
  <c r="G71" i="2" s="1"/>
  <c r="G36" i="2"/>
  <c r="E108" i="2"/>
  <c r="E112" i="2" s="1"/>
  <c r="E109" i="2"/>
  <c r="E113" i="2" s="1"/>
  <c r="E148" i="2" s="1"/>
  <c r="I69" i="2"/>
  <c r="I71" i="2" s="1"/>
  <c r="I36" i="2"/>
  <c r="M30" i="2"/>
  <c r="K34" i="2"/>
  <c r="M34" i="2" s="1"/>
  <c r="D112" i="2"/>
  <c r="E147" i="2" l="1"/>
  <c r="E149" i="2" s="1"/>
  <c r="E114" i="2"/>
  <c r="M108" i="2"/>
  <c r="L36" i="2"/>
  <c r="L70" i="2"/>
  <c r="M70" i="2"/>
  <c r="D71" i="2"/>
  <c r="L69" i="2"/>
  <c r="D147" i="2"/>
  <c r="D114" i="2"/>
  <c r="M112" i="2"/>
  <c r="L112" i="2"/>
  <c r="L71" i="2"/>
  <c r="L108" i="2"/>
  <c r="D148" i="2"/>
  <c r="L113" i="2"/>
  <c r="M113" i="2"/>
  <c r="M109" i="2"/>
  <c r="K36" i="2"/>
  <c r="M36" i="2" s="1"/>
  <c r="K69" i="2"/>
  <c r="K71" i="2" s="1"/>
  <c r="K114" i="2"/>
  <c r="K147" i="2"/>
  <c r="K149" i="2" s="1"/>
  <c r="L109" i="2"/>
  <c r="M148" i="2" l="1"/>
  <c r="L148" i="2"/>
  <c r="M114" i="2"/>
  <c r="L114" i="2"/>
  <c r="M71" i="2"/>
  <c r="D149" i="2"/>
  <c r="M147" i="2"/>
  <c r="L147" i="2"/>
  <c r="M69" i="2"/>
  <c r="M149" i="2" l="1"/>
  <c r="L149" i="2"/>
</calcChain>
</file>

<file path=xl/sharedStrings.xml><?xml version="1.0" encoding="utf-8"?>
<sst xmlns="http://schemas.openxmlformats.org/spreadsheetml/2006/main" count="1377" uniqueCount="611">
  <si>
    <t>Regulatory Financial Performance Report</t>
  </si>
  <si>
    <t>Licensee</t>
  </si>
  <si>
    <t>NGET (SO)</t>
  </si>
  <si>
    <t>Input cells</t>
  </si>
  <si>
    <t>Sector</t>
  </si>
  <si>
    <t>Totals cells (of formula within worksheet)</t>
  </si>
  <si>
    <t>Reporting Year:
(enter 2014 for 2013-14)</t>
  </si>
  <si>
    <t>Referencing to other worksheets</t>
  </si>
  <si>
    <t>Version (Number)</t>
  </si>
  <si>
    <t>Referencing to other workbooks</t>
  </si>
  <si>
    <t>Submitted Date:</t>
  </si>
  <si>
    <t>Check cells</t>
  </si>
  <si>
    <t>Cost of Equity</t>
  </si>
  <si>
    <t>No Input</t>
  </si>
  <si>
    <t>Sharing Factor</t>
  </si>
  <si>
    <t>Descriptions and pack data</t>
  </si>
  <si>
    <t>Notional Gearing</t>
  </si>
  <si>
    <t>RIIO-1 start date</t>
  </si>
  <si>
    <t>Materiality £m</t>
  </si>
  <si>
    <t>Price basis</t>
  </si>
  <si>
    <t>Network Operator Data</t>
  </si>
  <si>
    <t>2017-18</t>
  </si>
  <si>
    <t>2018-19</t>
  </si>
  <si>
    <t>2019-20</t>
  </si>
  <si>
    <t>2020-21</t>
  </si>
  <si>
    <t>2021-22</t>
  </si>
  <si>
    <t>2022-23</t>
  </si>
  <si>
    <t>RPI Index</t>
  </si>
  <si>
    <t>Reporting year</t>
  </si>
  <si>
    <t>Actual / Forecast index</t>
  </si>
  <si>
    <t>Financial Year Average RPI
(RPIt)</t>
  </si>
  <si>
    <t>Year end RPI</t>
  </si>
  <si>
    <t>Corp. Tax</t>
  </si>
  <si>
    <t>2009-10</t>
  </si>
  <si>
    <t>2010-11</t>
  </si>
  <si>
    <t>2011-12</t>
  </si>
  <si>
    <t>2012-13</t>
  </si>
  <si>
    <t>2013-14</t>
  </si>
  <si>
    <t>2014-15</t>
  </si>
  <si>
    <t>2015-16</t>
  </si>
  <si>
    <t>2016-17</t>
  </si>
  <si>
    <t>NG updated May 2020</t>
  </si>
  <si>
    <t>2023-24</t>
  </si>
  <si>
    <t>2024-25</t>
  </si>
  <si>
    <t>2025-26</t>
  </si>
  <si>
    <t>Financial Year Average RPI (RPIt)</t>
  </si>
  <si>
    <t>1 year change in Fin Year Ave RPI</t>
  </si>
  <si>
    <t>HMT Forecasts for UK Economy - M3 New Forecasts RPI</t>
  </si>
  <si>
    <t>Calendar Year</t>
  </si>
  <si>
    <t>Source</t>
  </si>
  <si>
    <t>M3 New Forecasts RPI</t>
  </si>
  <si>
    <t>May 2020 Publication</t>
  </si>
  <si>
    <t>Forecast growth rate</t>
  </si>
  <si>
    <t>Reporting Year</t>
  </si>
  <si>
    <t>Future inflation assumption</t>
  </si>
  <si>
    <t>RIIO1</t>
  </si>
  <si>
    <t>ED</t>
  </si>
  <si>
    <t>£m 12/13</t>
  </si>
  <si>
    <t>Totex</t>
  </si>
  <si>
    <t>n/a</t>
  </si>
  <si>
    <t>ET</t>
  </si>
  <si>
    <t>£m 09/10</t>
  </si>
  <si>
    <t>GD</t>
  </si>
  <si>
    <t>Totex excluding repex</t>
  </si>
  <si>
    <t>Repex</t>
  </si>
  <si>
    <t>GT</t>
  </si>
  <si>
    <t>Totex (non-'uncertainty rate')</t>
  </si>
  <si>
    <t>Uncertainty rate</t>
  </si>
  <si>
    <t>Allowed cost of debt %</t>
  </si>
  <si>
    <t>[Updated data to follow]</t>
  </si>
  <si>
    <t>WPD</t>
  </si>
  <si>
    <t>ED - excluding WPD</t>
  </si>
  <si>
    <t>SHET</t>
  </si>
  <si>
    <t>ET - excluding SHET</t>
  </si>
  <si>
    <t>NG Updated</t>
  </si>
  <si>
    <t>Allowed 
Cost of Equity</t>
  </si>
  <si>
    <t>TIM Incentive Strength</t>
  </si>
  <si>
    <t>Gearing</t>
  </si>
  <si>
    <t>Main Cap. Rate</t>
  </si>
  <si>
    <t>RIIO1 start date</t>
  </si>
  <si>
    <t>Price Basis</t>
  </si>
  <si>
    <t>Fast Tracked</t>
  </si>
  <si>
    <t>IQI pre or post tax</t>
  </si>
  <si>
    <t>Allowed cost of debt</t>
  </si>
  <si>
    <t>Default</t>
  </si>
  <si>
    <t>ENWL</t>
  </si>
  <si>
    <t>No</t>
  </si>
  <si>
    <t>Post</t>
  </si>
  <si>
    <t>NPgN</t>
  </si>
  <si>
    <t>NPgY</t>
  </si>
  <si>
    <t>UKPN-EPN</t>
  </si>
  <si>
    <t>UKPN-LPN</t>
  </si>
  <si>
    <t>UKPN-SPN</t>
  </si>
  <si>
    <t>SPD</t>
  </si>
  <si>
    <t>SPMW</t>
  </si>
  <si>
    <t>SSEH</t>
  </si>
  <si>
    <t>SSES</t>
  </si>
  <si>
    <t>WPD-EMID</t>
  </si>
  <si>
    <t>Yes</t>
  </si>
  <si>
    <t>Pre</t>
  </si>
  <si>
    <t>WPD-WMID</t>
  </si>
  <si>
    <t>WPD-SWALES</t>
  </si>
  <si>
    <t>WPD-SWEST</t>
  </si>
  <si>
    <t>Cadent-EOE</t>
  </si>
  <si>
    <t>Cadent-London</t>
  </si>
  <si>
    <t>Cadent-WM</t>
  </si>
  <si>
    <t>Cadent-NW</t>
  </si>
  <si>
    <t>NGN</t>
  </si>
  <si>
    <t>SGN - Scotland</t>
  </si>
  <si>
    <t>SGN - Southern</t>
  </si>
  <si>
    <t>WWU</t>
  </si>
  <si>
    <t>NGGT (TO)</t>
  </si>
  <si>
    <t>NGGT (SO)</t>
  </si>
  <si>
    <t>NGET (TO)</t>
  </si>
  <si>
    <t>SPT</t>
  </si>
  <si>
    <t>GD: Capitalised share of repex / GT: Uncertainty Rate</t>
  </si>
  <si>
    <t>IQI Additional Income</t>
  </si>
  <si>
    <t>Output incentives for each sector used to populate R5</t>
  </si>
  <si>
    <t>Input for R5 - Output Incentives</t>
  </si>
  <si>
    <t>Broad measure of customer service</t>
  </si>
  <si>
    <t>Interruptions-related quality of service</t>
  </si>
  <si>
    <t>Incentive on connections engagement</t>
  </si>
  <si>
    <t>Time to Connect Incentive</t>
  </si>
  <si>
    <t>Losses discretionary reward scheme</t>
  </si>
  <si>
    <t xml:space="preserve">Broad Measure of Customer Satisfaction </t>
  </si>
  <si>
    <t>Shrinkage Allowance Revenue Adjustment</t>
  </si>
  <si>
    <t xml:space="preserve">Environment Emissions Incentive </t>
  </si>
  <si>
    <t>Discretionary Reward Scheme</t>
  </si>
  <si>
    <t>NTS Exit Capacity</t>
  </si>
  <si>
    <t>Stakeholder Satisfaction Output</t>
  </si>
  <si>
    <t>Constraint management</t>
  </si>
  <si>
    <t>Permits revenue adjustment</t>
  </si>
  <si>
    <t>Transportation Support Services</t>
  </si>
  <si>
    <t>Shrinkage incentive</t>
  </si>
  <si>
    <t>Residual balancing</t>
  </si>
  <si>
    <t>Quality of demand forecasting</t>
  </si>
  <si>
    <t>Greenhouse gas incentive</t>
  </si>
  <si>
    <t>Maintenance incentive</t>
  </si>
  <si>
    <t>Network Reliability Incentive</t>
  </si>
  <si>
    <t>Electricity Market Reform incentive revenue</t>
  </si>
  <si>
    <t>Balancing Services Incentive Scheme</t>
  </si>
  <si>
    <t>Balancing Services Incentive Scheme / ESO Incentive Scheme 18/19</t>
  </si>
  <si>
    <t>SF6 Emissions</t>
  </si>
  <si>
    <t>Renewable wind forecasting incentive</t>
  </si>
  <si>
    <t>Environmental Discretionary Reward</t>
  </si>
  <si>
    <t xml:space="preserve">Performance re offers of timely connection </t>
  </si>
  <si>
    <t>All incentive performance recognised in t+2 allowed revenue - except TTC (t+3) and LDR (t+1) in ED</t>
  </si>
  <si>
    <t>Time to Connect Incentive revenue adjustment</t>
  </si>
  <si>
    <t>t+3</t>
  </si>
  <si>
    <t>Losses discretionary reward scheme revenue adjustment</t>
  </si>
  <si>
    <t>t+1</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</si>
  <si>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</si>
  <si>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</si>
  <si>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</si>
  <si>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</si>
  <si>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</si>
  <si>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</si>
  <si>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</si>
  <si>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</si>
  <si>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</si>
  <si>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</si>
  <si>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</si>
  <si>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</si>
  <si>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</si>
  <si>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</si>
  <si>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</si>
  <si>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</si>
  <si>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</si>
  <si>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</si>
  <si>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</si>
  <si>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</si>
  <si>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</si>
  <si>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</si>
  <si>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</si>
  <si>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</si>
  <si>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Special features</t>
  </si>
  <si>
    <t>Callable</t>
  </si>
  <si>
    <t>Puttable</t>
  </si>
  <si>
    <t>Counterparty</t>
  </si>
  <si>
    <t>EIB</t>
  </si>
  <si>
    <t>RBS</t>
  </si>
  <si>
    <t>Swap legs</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</si>
  <si>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</si>
  <si>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</si>
  <si>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</si>
  <si>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</si>
  <si>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</si>
  <si>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</si>
  <si>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</si>
  <si>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</si>
  <si>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</si>
  <si>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</si>
  <si>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</si>
  <si>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</si>
  <si>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</si>
  <si>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</si>
  <si>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</si>
  <si>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</si>
  <si>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R1 - RoRE</t>
  </si>
  <si>
    <t>R2 - Revenue</t>
  </si>
  <si>
    <t>R3 - Rec to totex</t>
  </si>
  <si>
    <t>R4 - Totex</t>
  </si>
  <si>
    <t>R5 - Output Incentives</t>
  </si>
  <si>
    <t>R6 - Innovation</t>
  </si>
  <si>
    <t>R7 - Financing</t>
  </si>
  <si>
    <t>R8 - Net Debt</t>
  </si>
  <si>
    <t>R9 - RAV</t>
  </si>
  <si>
    <t>R10 - Tax</t>
  </si>
  <si>
    <t>R11 - Dividends</t>
  </si>
  <si>
    <t>R12 - Pensions</t>
  </si>
  <si>
    <t>R13 - Other Activities</t>
  </si>
  <si>
    <t>Change log</t>
  </si>
  <si>
    <t>Version</t>
  </si>
  <si>
    <t>Table Reference</t>
  </si>
  <si>
    <t>Changes made to RFPR template</t>
  </si>
  <si>
    <t>R8</t>
  </si>
  <si>
    <t>Row 26 added to pick up unamortised issues costs row in table R8a.</t>
  </si>
  <si>
    <t>Row 42 updated to include new row 26 (unamortised issue costs) in the subtotal</t>
  </si>
  <si>
    <t>R1</t>
  </si>
  <si>
    <t>Amended formating to percentages (Column M:N, rows 10-23 and rows 29-42)</t>
  </si>
  <si>
    <t>R7</t>
  </si>
  <si>
    <t>B29 to add "Net Interest" into the title to make it clear that this should include regulatory definition of net interest associated with new/refinanced debt raised in future years</t>
  </si>
  <si>
    <t>Row 47 added to allow input of issuance expenses forecast for new/refinanced debt in future years</t>
  </si>
  <si>
    <t>R8a</t>
  </si>
  <si>
    <t>Additional row added for restricted cash balances in table R8a in row 18, guidance updated.</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</si>
  <si>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</si>
  <si>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</si>
  <si>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</si>
  <si>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</si>
  <si>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</si>
  <si>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</si>
  <si>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</si>
  <si>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</si>
  <si>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</si>
  <si>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</si>
  <si>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</si>
  <si>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</si>
  <si>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</si>
  <si>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</si>
  <si>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</si>
  <si>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</si>
  <si>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</si>
  <si>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</si>
  <si>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</si>
  <si>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</si>
  <si>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Changed the format of Column Q to be a RPI number to two decimal places, instead of a percentage</t>
  </si>
  <si>
    <t>R1 - Return on Regulatory Equity (RoRE)</t>
  </si>
  <si>
    <t>RIIO-1 period</t>
  </si>
  <si>
    <t>RoRE based on Notional Gearing</t>
  </si>
  <si>
    <t>Allowed Equity Return</t>
  </si>
  <si>
    <t>%</t>
  </si>
  <si>
    <t>RoRE based on Actual Gearing</t>
  </si>
  <si>
    <t>Debt performance - at actual gearing</t>
  </si>
  <si>
    <t>Tax performance - at actual gearing</t>
  </si>
  <si>
    <t>RoRE input values</t>
  </si>
  <si>
    <t>Equity Return on the RAV</t>
  </si>
  <si>
    <t>Totex outperformance</t>
  </si>
  <si>
    <t>IQI Reward</t>
  </si>
  <si>
    <t xml:space="preserve">Network Innovation </t>
  </si>
  <si>
    <t>Penalties and fines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</si>
  <si>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</si>
  <si>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</si>
  <si>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</si>
  <si>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</si>
  <si>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</si>
  <si>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</si>
  <si>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element of RAV</t>
  </si>
  <si>
    <t>Equity RAV based on actual gearing</t>
  </si>
  <si>
    <t>Enduring Value Appendix in Commentary</t>
  </si>
  <si>
    <t>Totex per the latest RRP submission</t>
  </si>
  <si>
    <t>Latest Totex actuals/forecast</t>
  </si>
  <si>
    <t>Totex allowance 
   including allowed adjustments and uncertainty mechanisms</t>
  </si>
  <si>
    <t>Totex out(under)performance</t>
  </si>
  <si>
    <t>Funding Adjustment Rate (often referred to as 'sharing factor')</t>
  </si>
  <si>
    <t>Customer share of out(under) performance</t>
  </si>
  <si>
    <t>NWO share of performance</t>
  </si>
  <si>
    <t>Enduring Value adjustments to Totex performance</t>
  </si>
  <si>
    <t>a</t>
  </si>
  <si>
    <t>b</t>
  </si>
  <si>
    <t>c</t>
  </si>
  <si>
    <t>[Enduring Value adjustment]</t>
  </si>
  <si>
    <t>d</t>
  </si>
  <si>
    <t>e</t>
  </si>
  <si>
    <t>f</t>
  </si>
  <si>
    <t>Total enduring value adjustments</t>
  </si>
  <si>
    <t>Enduring Value: Customer share of performance</t>
  </si>
  <si>
    <t>Enduring Value: NWO share of performance</t>
  </si>
  <si>
    <t>Total out(under) performance (including enduring value adjustments)</t>
  </si>
  <si>
    <t>Customer share of performance</t>
  </si>
  <si>
    <t>Total</t>
  </si>
  <si>
    <t>Totex Summary</t>
  </si>
  <si>
    <t>Additional Income is Pre-tax for Fast Track companies and Post-tax for Slow Track.</t>
  </si>
  <si>
    <t>IQI Additional Income per PCFM</t>
  </si>
  <si>
    <t>Corporation tax rate when recognised in allowed revenue</t>
  </si>
  <si>
    <t>Post tax</t>
  </si>
  <si>
    <t>£m Nominal</t>
  </si>
  <si>
    <t>Index</t>
  </si>
  <si>
    <t>£m nominal</t>
  </si>
  <si>
    <t>Totex allowance 
   including forecast allowed adjustments and uncertainty mechanisms</t>
  </si>
  <si>
    <t>NO share of performance</t>
  </si>
  <si>
    <r>
      <t xml:space="preserve">Allowed Revenue </t>
    </r>
    <r>
      <rPr>
        <sz val="10"/>
        <color theme="1"/>
        <rFont val="Verdana"/>
        <family val="2"/>
      </rPr>
      <t>- per latest submitted Revenue Return</t>
    </r>
  </si>
  <si>
    <t>Opening Base Revenue Allowance</t>
  </si>
  <si>
    <t>MOD</t>
  </si>
  <si>
    <t>True Up</t>
  </si>
  <si>
    <t>Retail Price Index Forecast (RPIF term)</t>
  </si>
  <si>
    <t>Nominal Base Revenue</t>
  </si>
  <si>
    <t>Incentive revenue adjustment</t>
  </si>
  <si>
    <t>Adjustments for Allowed Pass-Through items</t>
  </si>
  <si>
    <t>Network Innovation Allowance</t>
  </si>
  <si>
    <t>Low Carbon Networks Fund revenue adjustment</t>
  </si>
  <si>
    <t>Innovation Adjustment</t>
  </si>
  <si>
    <t>Correction factor</t>
  </si>
  <si>
    <t>Allowed Network Revenue</t>
  </si>
  <si>
    <t>(Under) / Over recovery</t>
  </si>
  <si>
    <t>Reconciliation: Regulated Network Revenue to Accounts</t>
  </si>
  <si>
    <t>Collected Regulated Network Revenue</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</si>
  <si>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</si>
  <si>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</si>
  <si>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</si>
  <si>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</si>
  <si>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</si>
  <si>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</si>
  <si>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</si>
  <si>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</si>
  <si>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</si>
  <si>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[Input description, add additional rows as required]</t>
  </si>
  <si>
    <t>Total Other Turnover Items</t>
  </si>
  <si>
    <t>Other adjustments - please list</t>
  </si>
  <si>
    <t>Total other adjustments</t>
  </si>
  <si>
    <t>Reconciled total revenue</t>
  </si>
  <si>
    <t>Turnover as per Profit and Loss (Accounts)</t>
  </si>
  <si>
    <t>Check</t>
  </si>
  <si>
    <t>R3 - 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</si>
  <si>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</si>
  <si>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</si>
  <si>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</si>
  <si>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</si>
  <si>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</si>
  <si>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</si>
  <si>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</si>
  <si>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</si>
  <si>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</si>
  <si>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</si>
  <si>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Total Expenditure Incurred</t>
  </si>
  <si>
    <t>Reconciling Items to Total Net costs after non-price control allocations</t>
  </si>
  <si>
    <t>Total Reconciling Items</t>
  </si>
  <si>
    <t>Total Net costs after non-price control allocations</t>
  </si>
  <si>
    <t>Total Costs per latest RRP submission</t>
  </si>
  <si>
    <t>check</t>
  </si>
  <si>
    <t>Reconciling Items to Totex</t>
  </si>
  <si>
    <t>Other/Rounding</t>
  </si>
  <si>
    <t>Total reconciling items not recognised in totex</t>
  </si>
  <si>
    <t>PCFM Totex (excluding enduring value)</t>
  </si>
  <si>
    <t>RRP reported totex</t>
  </si>
  <si>
    <r>
      <t xml:space="preserve">Pre-tax Earned Incentives </t>
    </r>
    <r>
      <rPr>
        <sz val="10"/>
        <color theme="1"/>
        <rFont val="Verdana"/>
        <family val="2"/>
      </rPr>
      <t>(Actuals may be updated once all incentives are determined)</t>
    </r>
  </si>
  <si>
    <t>These values exclude any inflation, interest or time value of money adjustments</t>
  </si>
  <si>
    <t>g</t>
  </si>
  <si>
    <t>Earned Incentive revenue</t>
  </si>
  <si>
    <t>Additional Commentary</t>
  </si>
  <si>
    <r>
      <t xml:space="preserve">Post-tax Earned Incentives </t>
    </r>
    <r>
      <rPr>
        <sz val="10"/>
        <color theme="1"/>
        <rFont val="Verdana"/>
        <family val="2"/>
      </rPr>
      <t>(Actuals may be updated once all incentives are determined)</t>
    </r>
  </si>
  <si>
    <t>Year tax paid when incentive recognised in allowed revenue. Select from dropdown in Column C</t>
  </si>
  <si>
    <t>-</t>
  </si>
  <si>
    <t>t+0</t>
  </si>
  <si>
    <t>t+2</t>
  </si>
  <si>
    <t>Post-Tax Earned Incentive revenue</t>
  </si>
  <si>
    <t>Impact on Allowed Revenue within RIIO-1</t>
  </si>
  <si>
    <t>This table shows the impact on allowed revenue in the relevant year - with actuals (subject to determination) and forecasts thereafter.</t>
  </si>
  <si>
    <t>The cells above the allowed revenue indicate the year of performance</t>
  </si>
  <si>
    <t xml:space="preserve">Performance Year </t>
  </si>
  <si>
    <t>Total Impact on Allowed Revenue</t>
  </si>
  <si>
    <t>Eligible NIA expenditure and Bid Preparation costs</t>
  </si>
  <si>
    <t>Unrecoverable Expenditure (eg not conforming to technical requirements)</t>
  </si>
  <si>
    <t>Company Compulsory Contribution (including % contribution funded by licensee)</t>
  </si>
  <si>
    <t>Allowed NIA adjustment</t>
  </si>
  <si>
    <t>Low Carbon Networks Fund</t>
  </si>
  <si>
    <t>Second Tier and Discretionary (as per latest Revenue RRP)</t>
  </si>
  <si>
    <t>First Tier Funding Mechanism (as per latest Revenue RRP)</t>
  </si>
  <si>
    <t>Network Innovation Competition</t>
  </si>
  <si>
    <t>Awarded NIC funding actually spent or forecast to be spent</t>
  </si>
  <si>
    <t>Successful Delivery Rewards</t>
  </si>
  <si>
    <t>RoRE Inputs</t>
  </si>
  <si>
    <t>Network innovation</t>
  </si>
  <si>
    <t>Reconciliation with Statutory Accounts</t>
  </si>
  <si>
    <t>Net Interest Per Regulatory (RIIO-1) Definition</t>
  </si>
  <si>
    <t>Forecast new financing/refinancing Net Interest costs</t>
  </si>
  <si>
    <t>Net Interest including forecast new financing/refinancing costs</t>
  </si>
  <si>
    <t>External Net Interest</t>
  </si>
  <si>
    <t>Intra-company Net Interest</t>
  </si>
  <si>
    <t>Memo: Net interest (RIIO-1) Definition that relates to non-cash principal inflation accretion on bonds and loans</t>
  </si>
  <si>
    <t>Less inflation in interest charge</t>
  </si>
  <si>
    <t>Assumed Regulatory finance cost at actual gearing</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</si>
  <si>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</si>
  <si>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</si>
  <si>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</si>
  <si>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</si>
  <si>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</si>
  <si>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</si>
  <si>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</si>
  <si>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</si>
  <si>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</si>
  <si>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</si>
  <si>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</si>
  <si>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published PCFM contains the allowed cost of debt rate (%) for the reporting year. </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</si>
  <si>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</si>
  <si>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</si>
  <si>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To address this timing issue, network operators should forecast the allowance in row 79 (linked to R9-RAV table) - which will be trued-up over time.</t>
  </si>
  <si>
    <t>Cost of Debt Allowance as per latest published PCFM (prior year AIP)</t>
  </si>
  <si>
    <t>Forecast revised Cost of Debt Allowance</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</si>
  <si>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</si>
  <si>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</si>
  <si>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</si>
  <si>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</si>
  <si>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</si>
  <si>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</si>
  <si>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System operator allocation (transmission companies only)</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</si>
  <si>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</si>
  <si>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</si>
  <si>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</si>
  <si>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</si>
  <si>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</si>
  <si>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</si>
  <si>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</si>
  <si>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</si>
  <si>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</si>
  <si>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</si>
  <si>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</si>
  <si>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</si>
  <si>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</si>
  <si>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</si>
  <si>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</si>
  <si>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</si>
  <si>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(RIIO-1) Definition of Net Debt</t>
  </si>
  <si>
    <t>Total Net Debt per Regulatory (RIIO-1)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</si>
  <si>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</si>
  <si>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</si>
  <si>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</si>
  <si>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</si>
  <si>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</si>
  <si>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</si>
  <si>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</si>
  <si>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</si>
  <si>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</si>
  <si>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</si>
  <si>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</si>
  <si>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</si>
  <si>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</si>
  <si>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R9 - Regulatory Asset Value (RAV)</t>
  </si>
  <si>
    <t>RAV per latest published PCFM</t>
  </si>
  <si>
    <t>The latest published PCFM does not account for the impact of the reporting years totex. This will be published in the forthcoming annual iteration process.</t>
  </si>
  <si>
    <t>Closing RAV per latest published PCFM</t>
  </si>
  <si>
    <t>Revised RAV - including forecast totex, allowances and enduring value</t>
  </si>
  <si>
    <t>Revised adjusted RAV including forecast totex, allowances and enduring value</t>
  </si>
  <si>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</si>
  <si>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</si>
  <si>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</si>
  <si>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</si>
  <si>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</si>
  <si>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</si>
  <si>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</si>
  <si>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</si>
  <si>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</si>
  <si>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[Input other adjustment]</t>
  </si>
  <si>
    <t>Other adjustments</t>
  </si>
  <si>
    <t>Adjusted Closing RAV</t>
  </si>
  <si>
    <t>Total enduring value and other adjustments</t>
  </si>
  <si>
    <t>CHECK</t>
  </si>
  <si>
    <t>Index for Opening RAV conversion to nominal in yr 1</t>
  </si>
  <si>
    <t>Cost of debt</t>
  </si>
  <si>
    <t>annual real %</t>
  </si>
  <si>
    <t>Cost of equity</t>
  </si>
  <si>
    <t>Notional gearing</t>
  </si>
  <si>
    <t>Vanilla WACC</t>
  </si>
  <si>
    <t>NPV-neutral debt element of RAV</t>
  </si>
  <si>
    <t>NPV-neutral RAV return base</t>
  </si>
  <si>
    <t>Debt Return on RAV</t>
  </si>
  <si>
    <t>Equity Return on RAV</t>
  </si>
  <si>
    <t>Total return on RAV</t>
  </si>
  <si>
    <t>Adjusted NPV-neutral average RAV</t>
  </si>
  <si>
    <t>Equity Return on NPV-neutral RAV</t>
  </si>
  <si>
    <t>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</si>
  <si>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</si>
  <si>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This will be corrected / trued-up in future years</t>
  </si>
  <si>
    <t>Tax liability per latest submitted CT600 (pre-group relief)</t>
  </si>
  <si>
    <t>Adjustments to remove non-regulated tax liability</t>
  </si>
  <si>
    <t>Tax on non-regulated activities</t>
  </si>
  <si>
    <t>[Insert adjustment as necessary]</t>
  </si>
  <si>
    <t>Non-regulated tax</t>
  </si>
  <si>
    <t>Tax on output incentives</t>
  </si>
  <si>
    <t>Tax on IQI</t>
  </si>
  <si>
    <t>Collected revenue adjustment ('k')</t>
  </si>
  <si>
    <t>Pension - timing adjustment</t>
  </si>
  <si>
    <t>Pension - disallowed contributions</t>
  </si>
  <si>
    <t>Tax on derivatives not disregarded</t>
  </si>
  <si>
    <t>Tax arising from MOD values</t>
  </si>
  <si>
    <t>[Insert new rows here as necessary]</t>
  </si>
  <si>
    <t>Forecast regulated tax liability (including impact of enduring value adjustments)</t>
  </si>
  <si>
    <t xml:space="preserve">Adjusted forecast regulated tax liability with timing differences </t>
  </si>
  <si>
    <t>Financial year average RPI</t>
  </si>
  <si>
    <t xml:space="preserve">Adjusted/forecast regulated tax liability with timing differences </t>
  </si>
  <si>
    <t>Tax out(under)performance at notional gearing</t>
  </si>
  <si>
    <t>Adjustment to regulatory tax cost relating to variance from notional gearing</t>
  </si>
  <si>
    <t>Revised regulated tax liability for comparison against allowance</t>
  </si>
  <si>
    <t>Allowance</t>
  </si>
  <si>
    <t>The latest published PCFM does not account for the forecast TIM performance - and ultimate impact on tax allowance.</t>
  </si>
  <si>
    <t>Tax Allowance per latest published PCFM</t>
  </si>
  <si>
    <t>Tax clawbacks</t>
  </si>
  <si>
    <t>Net Tax Allowance</t>
  </si>
  <si>
    <t>Network operators should provide forecast allowances taking account of the latest totex, allowances, reopeners, enduring value adjustments - and other financial variables</t>
  </si>
  <si>
    <t>Forecast tax allowance</t>
  </si>
  <si>
    <t>Forecast tax clawbacks</t>
  </si>
  <si>
    <t>Net forecast tax allowance</t>
  </si>
  <si>
    <t>Reconciliation of forecast movement in allowance</t>
  </si>
  <si>
    <t>Changes in corporation tax rates</t>
  </si>
  <si>
    <t>Tax allowance retained within deadband</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</si>
  <si>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</si>
  <si>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</si>
  <si>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</si>
  <si>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</si>
  <si>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Tax impact of financing performance (at notional gearing)</t>
  </si>
  <si>
    <t>Tax impact of financing performance relating to deviating from notional levels of gearing</t>
  </si>
  <si>
    <t xml:space="preserve">R11 - Dividends </t>
  </si>
  <si>
    <t>Dividend paid as per Statutory Accounts</t>
  </si>
  <si>
    <t>Less dividend paid not related to Regulated business</t>
  </si>
  <si>
    <t>Dividend paid relating to the Regulated Business</t>
  </si>
  <si>
    <t>Shareholder loan interest (not included as Net Interest per Regulatory (RIIO-1) definition)</t>
  </si>
  <si>
    <t>Licensee share of total pension deficit repair payment made for defined benefit scheme</t>
  </si>
  <si>
    <t>Of which:</t>
  </si>
  <si>
    <t>Established deficit element funded via specific allowances</t>
  </si>
  <si>
    <t>Incremental deficit funded via totex</t>
  </si>
  <si>
    <t>Established deficit (EDE) allowance as per PCFM</t>
  </si>
  <si>
    <t>Less Pension Payment History Allowance (PPH)</t>
  </si>
  <si>
    <t>Established deficit allowance less PPH</t>
  </si>
  <si>
    <t>Enter valuation date</t>
  </si>
  <si>
    <t>Latest pension scheme valuation</t>
  </si>
  <si>
    <t>Price base</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</si>
  <si>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</si>
  <si>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</si>
  <si>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</si>
  <si>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</si>
  <si>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</si>
  <si>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</si>
  <si>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</si>
  <si>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</si>
  <si>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R13 - 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</si>
  <si>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</si>
  <si>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</si>
  <si>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</si>
  <si>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</si>
  <si>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</si>
  <si>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</si>
  <si>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</si>
  <si>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</si>
  <si>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</si>
  <si>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E24: 290.642; F24: 292.60 - per ofgem request</t>
  </si>
  <si>
    <t>M3 New Forecasts RPI - H39: 2.0; I39: 2.5; J39: 2.8 - per Ofgem request</t>
  </si>
  <si>
    <t>Formula error corrected as requested by Ofgem. Old, incorrect formula:
Cell D37 = ('R8 - Net Debt'!D54-AVERAGE('R8 - Net Debt'!D8,('R8 - Net Debt'!E10-'R8a - Net Debt input'!T18)))*(Data!C36-1)
Correct updated formula:
Cell D37 =('R8 - Net Debt'!D54-AVERAGE('R8 - Net Debt'!D8,('R8 - Net Debt'!D10-'R8a - Net Debt input'!T18)))*(Data!C36-1)</t>
  </si>
  <si>
    <t>TO excluded, consented and de minimis services</t>
  </si>
  <si>
    <t xml:space="preserve">System Operator external income </t>
  </si>
  <si>
    <t>Revenue classified as totex</t>
  </si>
  <si>
    <t>IFRS15 - netted off in income from FY19 - Hydro-Benefit Scheme Income</t>
  </si>
  <si>
    <t>IFRS15 - netted off in income from FY19 - Post Vesting income collected on behalf of Scottish TOs</t>
  </si>
  <si>
    <t>NGET (SO) adjustments</t>
  </si>
  <si>
    <t>TO collected income</t>
  </si>
  <si>
    <t>Excluded services reclassifications</t>
  </si>
  <si>
    <t>IFRS15 elimination of agency income</t>
  </si>
  <si>
    <t>System Operator external income per Revenue RRP</t>
  </si>
  <si>
    <t>FY19 Incentive Adjustment</t>
  </si>
  <si>
    <t>FY20 Incentive Adjustment</t>
  </si>
  <si>
    <t>SO-TO Cost Allowance</t>
  </si>
  <si>
    <t>TNUoS Revenue</t>
  </si>
  <si>
    <t>Other</t>
  </si>
  <si>
    <t>EMR functions internal costs</t>
  </si>
  <si>
    <t>EMR adjustment to allowed revenue</t>
  </si>
  <si>
    <t>External incentive revenue</t>
  </si>
  <si>
    <t>EMR Incentive Revenue</t>
  </si>
  <si>
    <t>Costs related to ET per statutory accounts</t>
  </si>
  <si>
    <t>Capex related to ET per statutory accounts</t>
  </si>
  <si>
    <t>Other non-regulated activities</t>
  </si>
  <si>
    <t>Depreciation, amortisation and capex adjustments</t>
  </si>
  <si>
    <t>Pension adjustments</t>
  </si>
  <si>
    <t>Provision Movements</t>
  </si>
  <si>
    <t>BSIS - Incentive constraint cost</t>
  </si>
  <si>
    <t>Other and roundings</t>
  </si>
  <si>
    <t>JV costs not included in Regulatory Accounts</t>
  </si>
  <si>
    <t>Exceptional Items - Additional Pension Contributions</t>
  </si>
  <si>
    <t>Betta Outage Costs</t>
  </si>
  <si>
    <t>IFRS 16 Utilisation</t>
  </si>
  <si>
    <t>Pension Deficit Payments relating to Established Deficit</t>
  </si>
  <si>
    <t>Costs of Excluded Services (SO only)</t>
  </si>
  <si>
    <t>Pension Scheme Administration &amp; PPF Levy</t>
  </si>
  <si>
    <t>Bad Debts</t>
  </si>
  <si>
    <t>Network Innovation Costs</t>
  </si>
  <si>
    <t>EMR Preparatory Costs to July 2014</t>
  </si>
  <si>
    <t>Network Rates</t>
  </si>
  <si>
    <t>License Fees</t>
  </si>
  <si>
    <t>Cross Border Trading</t>
  </si>
  <si>
    <t>Allowances in RRP</t>
  </si>
  <si>
    <t>Allowance Rephasing Adjustment</t>
  </si>
  <si>
    <t>Attributable to NGET (SO) from NGET (TO) - SO incentives</t>
  </si>
  <si>
    <t>Attributable to NGET (SO) from NGET (TO) - remainder</t>
  </si>
  <si>
    <t>Tax on remeasurements</t>
  </si>
  <si>
    <t>Debt redemption costs</t>
  </si>
  <si>
    <t>New ESO Incentive (FY19 onwards)</t>
  </si>
  <si>
    <t>FY14-20 based on incentives earnt within the period, FY21 based on average of historic performance</t>
  </si>
  <si>
    <t>FY14-17 based on incentives earnt within period, FY18 onwards incentive no longer exists</t>
  </si>
  <si>
    <t>Incentive no longer in place</t>
  </si>
  <si>
    <t>Incentive earnt is as per FY19 and FY20 directions. No forecast provided as this incentive is subjective and not driven by Licence algebra</t>
  </si>
  <si>
    <t>1. Cash Relating to TNUoS</t>
  </si>
  <si>
    <t>2. Lease Liability</t>
  </si>
  <si>
    <t>3. Interest Accrual</t>
  </si>
  <si>
    <t xml:space="preserve">4. Allocated from NGET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</si>
</sst>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2">
    <numFmt numFmtId="44" formatCode="_-&quot;£&quot;* #,##0.00_-;\-&quot;£&quot;* #,##0.00_-;_-&quot;£&quot;* &quot;-&quot;??_-;_-@_-"/>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 numFmtId="353" formatCode="[$-F800]dddd\,\ mmmm\ dd\,\ yyyy"/>
    <numFmt numFmtId="354" formatCode="_-* #,##0.0_-;\-* #,##0.0_-;_-* &quot;-&quot;?_-;_-@_-"/>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3">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FFFF00"/>
        <bgColor indexed="64"/>
      </patternFill>
    </fill>
  </fills>
  <borders count="133">
    <border>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indexed="64"/>
      </top>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4" applyNumberFormat="0" applyProtection="0">
      <alignment vertical="center"/>
    </xf>
    <xf numFmtId="4" fontId="12" fillId="18" borderId="4" applyNumberFormat="0" applyProtection="0">
      <alignment vertical="center"/>
    </xf>
    <xf numFmtId="4" fontId="11" fillId="18" borderId="4" applyNumberFormat="0" applyProtection="0">
      <alignment horizontal="left" vertical="center" indent="1"/>
    </xf>
    <xf numFmtId="0" fontId="11" fillId="18" borderId="4" applyNumberFormat="0" applyProtection="0">
      <alignment horizontal="left" vertical="top" indent="1"/>
    </xf>
    <xf numFmtId="4" fontId="11" fillId="19" borderId="0" applyNumberFormat="0" applyProtection="0">
      <alignment horizontal="left" vertical="center" indent="1"/>
    </xf>
    <xf numFmtId="4" fontId="13" fillId="20" borderId="4" applyNumberFormat="0" applyProtection="0">
      <alignment horizontal="right" vertical="center"/>
    </xf>
    <xf numFmtId="4" fontId="13" fillId="21" borderId="4" applyNumberFormat="0" applyProtection="0">
      <alignment horizontal="right" vertical="center"/>
    </xf>
    <xf numFmtId="4" fontId="13" fillId="22" borderId="4" applyNumberFormat="0" applyProtection="0">
      <alignment horizontal="right" vertical="center"/>
    </xf>
    <xf numFmtId="4" fontId="13" fillId="23" borderId="4" applyNumberFormat="0" applyProtection="0">
      <alignment horizontal="right" vertical="center"/>
    </xf>
    <xf numFmtId="4" fontId="13" fillId="24" borderId="4" applyNumberFormat="0" applyProtection="0">
      <alignment horizontal="right" vertical="center"/>
    </xf>
    <xf numFmtId="4" fontId="13" fillId="25" borderId="4" applyNumberFormat="0" applyProtection="0">
      <alignment horizontal="right" vertical="center"/>
    </xf>
    <xf numFmtId="4" fontId="13" fillId="26" borderId="4" applyNumberFormat="0" applyProtection="0">
      <alignment horizontal="right" vertical="center"/>
    </xf>
    <xf numFmtId="4" fontId="13" fillId="27" borderId="4" applyNumberFormat="0" applyProtection="0">
      <alignment horizontal="right" vertical="center"/>
    </xf>
    <xf numFmtId="4" fontId="13" fillId="28" borderId="4" applyNumberFormat="0" applyProtection="0">
      <alignment horizontal="right" vertical="center"/>
    </xf>
    <xf numFmtId="4" fontId="11" fillId="29" borderId="5"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4"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top" indent="1"/>
    </xf>
    <xf numFmtId="0" fontId="4" fillId="19" borderId="4" applyNumberFormat="0" applyProtection="0">
      <alignment horizontal="left" vertical="center" indent="1"/>
    </xf>
    <xf numFmtId="0" fontId="4" fillId="19" borderId="4" applyNumberFormat="0" applyProtection="0">
      <alignment horizontal="left" vertical="top" indent="1"/>
    </xf>
    <xf numFmtId="0" fontId="4" fillId="32" borderId="4" applyNumberFormat="0" applyProtection="0">
      <alignment horizontal="left" vertical="center" indent="1"/>
    </xf>
    <xf numFmtId="0" fontId="4" fillId="32" borderId="4" applyNumberFormat="0" applyProtection="0">
      <alignment horizontal="left" vertical="top" indent="1"/>
    </xf>
    <xf numFmtId="0" fontId="4" fillId="30" borderId="4" applyNumberFormat="0" applyProtection="0">
      <alignment horizontal="left" vertical="center" indent="1"/>
    </xf>
    <xf numFmtId="0" fontId="4" fillId="30" borderId="4" applyNumberFormat="0" applyProtection="0">
      <alignment horizontal="left" vertical="top" indent="1"/>
    </xf>
    <xf numFmtId="0" fontId="4" fillId="33" borderId="2" applyNumberFormat="0">
      <protection locked="0"/>
    </xf>
    <xf numFmtId="4" fontId="13" fillId="34" borderId="4" applyNumberFormat="0" applyProtection="0">
      <alignment vertical="center"/>
    </xf>
    <xf numFmtId="4" fontId="15" fillId="34" borderId="4" applyNumberFormat="0" applyProtection="0">
      <alignment vertical="center"/>
    </xf>
    <xf numFmtId="4" fontId="13" fillId="34" borderId="4" applyNumberFormat="0" applyProtection="0">
      <alignment horizontal="left" vertical="center" indent="1"/>
    </xf>
    <xf numFmtId="0" fontId="13" fillId="34" borderId="4" applyNumberFormat="0" applyProtection="0">
      <alignment horizontal="left" vertical="top" indent="1"/>
    </xf>
    <xf numFmtId="4" fontId="13" fillId="30" borderId="4" applyNumberFormat="0" applyProtection="0">
      <alignment horizontal="right" vertical="center"/>
    </xf>
    <xf numFmtId="4" fontId="15" fillId="30" borderId="4" applyNumberFormat="0" applyProtection="0">
      <alignment horizontal="right" vertical="center"/>
    </xf>
    <xf numFmtId="4" fontId="13" fillId="19" borderId="4" applyNumberFormat="0" applyProtection="0">
      <alignment horizontal="left" vertical="center" indent="1"/>
    </xf>
    <xf numFmtId="0" fontId="13" fillId="19" borderId="4" applyNumberFormat="0" applyProtection="0">
      <alignment horizontal="left" vertical="top" indent="1"/>
    </xf>
    <xf numFmtId="4" fontId="16" fillId="35" borderId="0" applyNumberFormat="0" applyProtection="0">
      <alignment horizontal="left" vertical="center" indent="1"/>
    </xf>
    <xf numFmtId="4" fontId="17" fillId="30" borderId="4"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7"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7">
      <alignment vertical="center"/>
      <protection locked="0"/>
    </xf>
    <xf numFmtId="167" fontId="2" fillId="43" borderId="7">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7">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0">
      <alignment horizontal="centerContinuous"/>
    </xf>
    <xf numFmtId="219" fontId="59" fillId="40" borderId="13">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8" applyNumberFormat="0" applyBorder="0" applyAlignment="0">
      <alignment horizontal="centerContinuous" vertical="center"/>
      <protection hidden="1"/>
    </xf>
    <xf numFmtId="1" fontId="69" fillId="76" borderId="11"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2"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0"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4"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9"/>
    <xf numFmtId="230" fontId="38" fillId="0" borderId="9"/>
    <xf numFmtId="230" fontId="38" fillId="0" borderId="9"/>
    <xf numFmtId="231" fontId="38" fillId="0" borderId="9"/>
    <xf numFmtId="231" fontId="38" fillId="0" borderId="9"/>
    <xf numFmtId="229" fontId="38" fillId="0" borderId="9"/>
    <xf numFmtId="229" fontId="38" fillId="0" borderId="9"/>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9"/>
    <xf numFmtId="233" fontId="38" fillId="0" borderId="9"/>
    <xf numFmtId="233" fontId="38" fillId="0" borderId="9"/>
    <xf numFmtId="234" fontId="38" fillId="0" borderId="9"/>
    <xf numFmtId="234" fontId="38" fillId="0" borderId="9"/>
    <xf numFmtId="232" fontId="38" fillId="0" borderId="9"/>
    <xf numFmtId="232" fontId="38" fillId="0" borderId="9"/>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9"/>
    <xf numFmtId="238" fontId="38" fillId="0" borderId="9"/>
    <xf numFmtId="238" fontId="38" fillId="0" borderId="9"/>
    <xf numFmtId="239" fontId="38" fillId="0" borderId="9"/>
    <xf numFmtId="239" fontId="38" fillId="0" borderId="9"/>
    <xf numFmtId="237" fontId="38" fillId="0" borderId="9"/>
    <xf numFmtId="237" fontId="38" fillId="0" borderId="9"/>
    <xf numFmtId="237" fontId="38" fillId="0" borderId="0"/>
    <xf numFmtId="240" fontId="4" fillId="46" borderId="0"/>
    <xf numFmtId="180" fontId="4" fillId="0" borderId="0">
      <alignment vertical="center"/>
    </xf>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189" fontId="83" fillId="61" borderId="15" applyNumberFormat="0" applyAlignment="0" applyProtection="0"/>
    <xf numFmtId="189" fontId="83" fillId="61" borderId="15" applyNumberFormat="0" applyAlignment="0" applyProtection="0"/>
    <xf numFmtId="38" fontId="84" fillId="0" borderId="0" applyNumberFormat="0" applyFill="0" applyBorder="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9" borderId="16" applyNumberFormat="0" applyAlignment="0" applyProtection="0"/>
    <xf numFmtId="0" fontId="85" fillId="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9" borderId="16" applyNumberFormat="0" applyAlignment="0" applyProtection="0"/>
    <xf numFmtId="0" fontId="85" fillId="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79" borderId="16" applyNumberFormat="0" applyAlignment="0" applyProtection="0"/>
    <xf numFmtId="189" fontId="86" fillId="79" borderId="16"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0">
      <alignment horizontal="center"/>
    </xf>
    <xf numFmtId="37" fontId="59" fillId="0" borderId="0">
      <alignment horizontal="center" vertical="center" wrapText="1"/>
    </xf>
    <xf numFmtId="1" fontId="87" fillId="0" borderId="17">
      <alignment vertical="top"/>
    </xf>
    <xf numFmtId="173" fontId="88" fillId="0" borderId="0" applyBorder="0">
      <alignment horizontal="right"/>
    </xf>
    <xf numFmtId="173" fontId="88" fillId="0" borderId="18"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2">
      <alignment horizontal="right"/>
    </xf>
    <xf numFmtId="260" fontId="36" fillId="0" borderId="0" applyFont="0" applyFill="0" applyBorder="0" applyAlignment="0" applyProtection="0"/>
    <xf numFmtId="229" fontId="38" fillId="45" borderId="19">
      <protection locked="0"/>
    </xf>
    <xf numFmtId="230" fontId="38" fillId="45" borderId="19">
      <protection locked="0"/>
    </xf>
    <xf numFmtId="231" fontId="38" fillId="45" borderId="19">
      <protection locked="0"/>
    </xf>
    <xf numFmtId="229" fontId="38" fillId="45" borderId="19">
      <protection locked="0"/>
    </xf>
    <xf numFmtId="232" fontId="38" fillId="45" borderId="19">
      <protection locked="0"/>
    </xf>
    <xf numFmtId="233" fontId="38" fillId="45" borderId="19">
      <protection locked="0"/>
    </xf>
    <xf numFmtId="234" fontId="38" fillId="45" borderId="19">
      <protection locked="0"/>
    </xf>
    <xf numFmtId="232" fontId="38" fillId="45" borderId="19">
      <protection locked="0"/>
    </xf>
    <xf numFmtId="235" fontId="38" fillId="37" borderId="19">
      <alignment horizontal="right"/>
      <protection locked="0"/>
    </xf>
    <xf numFmtId="236" fontId="38" fillId="37" borderId="19">
      <alignment horizontal="right"/>
      <protection locked="0"/>
    </xf>
    <xf numFmtId="0" fontId="38" fillId="82" borderId="19">
      <alignment horizontal="left"/>
      <protection locked="0"/>
    </xf>
    <xf numFmtId="49" fontId="38" fillId="38" borderId="19">
      <alignment horizontal="left" vertical="top" wrapText="1"/>
      <protection locked="0"/>
    </xf>
    <xf numFmtId="237" fontId="38" fillId="45" borderId="19">
      <protection locked="0"/>
    </xf>
    <xf numFmtId="238" fontId="38" fillId="45" borderId="19">
      <protection locked="0"/>
    </xf>
    <xf numFmtId="239" fontId="38" fillId="45" borderId="19">
      <protection locked="0"/>
    </xf>
    <xf numFmtId="237" fontId="38" fillId="45" borderId="19">
      <protection locked="0"/>
    </xf>
    <xf numFmtId="49" fontId="38" fillId="38" borderId="19">
      <alignment horizontal="left"/>
      <protection locked="0"/>
    </xf>
    <xf numFmtId="261" fontId="38" fillId="45" borderId="19">
      <alignment horizontal="left" indent="1"/>
      <protection locked="0"/>
    </xf>
    <xf numFmtId="262" fontId="4" fillId="45" borderId="20"/>
    <xf numFmtId="262" fontId="4" fillId="45" borderId="20"/>
    <xf numFmtId="262" fontId="4" fillId="45" borderId="20"/>
    <xf numFmtId="262" fontId="4" fillId="45" borderId="20"/>
    <xf numFmtId="262" fontId="4" fillId="45" borderId="2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1" applyNumberFormat="0" applyFont="0" applyFill="0" applyAlignment="0" applyProtection="0"/>
    <xf numFmtId="210" fontId="95" fillId="0" borderId="22"/>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3" applyAlignment="0" applyProtection="0"/>
    <xf numFmtId="283" fontId="14" fillId="61" borderId="3"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19">
      <alignment horizontal="center"/>
      <protection locked="0"/>
    </xf>
    <xf numFmtId="285" fontId="101" fillId="45" borderId="19" applyAlignment="0">
      <protection locked="0"/>
    </xf>
    <xf numFmtId="286" fontId="101" fillId="45" borderId="19"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3" applyNumberFormat="0" applyFont="0" applyAlignment="0" applyProtection="0"/>
    <xf numFmtId="0" fontId="36" fillId="0" borderId="23" applyNumberFormat="0" applyFont="0" applyAlignment="0" applyProtection="0"/>
    <xf numFmtId="0" fontId="36" fillId="0" borderId="23" applyNumberFormat="0" applyFont="0" applyAlignment="0" applyProtection="0"/>
    <xf numFmtId="0" fontId="36" fillId="0" borderId="23" applyNumberFormat="0" applyFont="0" applyAlignment="0" applyProtection="0"/>
    <xf numFmtId="0" fontId="36" fillId="0" borderId="24" applyNumberFormat="0" applyFont="0" applyAlignment="0" applyProtection="0"/>
    <xf numFmtId="0" fontId="36" fillId="0" borderId="24" applyNumberFormat="0" applyFont="0" applyAlignment="0" applyProtection="0"/>
    <xf numFmtId="0" fontId="36" fillId="0" borderId="24" applyNumberFormat="0" applyFont="0" applyAlignment="0" applyProtection="0"/>
    <xf numFmtId="0" fontId="36" fillId="0" borderId="24"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5"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6"/>
    <xf numFmtId="291" fontId="39" fillId="46" borderId="12">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2"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27"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28" applyNumberFormat="0" applyAlignment="0" applyProtection="0">
      <alignment horizontal="left" vertical="center"/>
    </xf>
    <xf numFmtId="180" fontId="73" fillId="0" borderId="29">
      <alignment horizontal="left" vertical="center"/>
    </xf>
    <xf numFmtId="2" fontId="69" fillId="76" borderId="0" applyAlignment="0">
      <alignment horizontal="right"/>
      <protection locked="0"/>
    </xf>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189" fontId="119" fillId="0" borderId="31"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189" fontId="122" fillId="0" borderId="32"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189" fontId="125" fillId="0" borderId="33"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4"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27" applyNumberFormat="0" applyBorder="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189" fontId="139" fillId="60" borderId="35" applyNumberFormat="0" applyAlignment="0" applyProtection="0"/>
    <xf numFmtId="189" fontId="139" fillId="60" borderId="35"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189" fontId="152" fillId="0" borderId="37"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18"/>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0"/>
    <xf numFmtId="311" fontId="40" fillId="0" borderId="38"/>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38"/>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189" fontId="4" fillId="34" borderId="39" applyNumberFormat="0" applyFont="0" applyAlignment="0" applyProtection="0"/>
    <xf numFmtId="189" fontId="4" fillId="34" borderId="39" applyNumberFormat="0" applyFont="0" applyAlignment="0" applyProtection="0"/>
    <xf numFmtId="0" fontId="168" fillId="83" borderId="0" applyAlignment="0" applyProtection="0">
      <alignment horizontal="left" vertical="top" wrapText="1"/>
    </xf>
    <xf numFmtId="284" fontId="4" fillId="45" borderId="40" applyFont="0" applyFill="0" applyBorder="0" applyAlignment="0" applyProtection="0">
      <protection locked="0"/>
    </xf>
    <xf numFmtId="37" fontId="4" fillId="0" borderId="0"/>
    <xf numFmtId="318" fontId="35" fillId="50" borderId="41" applyNumberFormat="0">
      <alignment vertical="center"/>
    </xf>
    <xf numFmtId="318" fontId="35" fillId="88" borderId="41" applyNumberFormat="0">
      <alignment vertical="center"/>
    </xf>
    <xf numFmtId="318" fontId="35" fillId="40" borderId="41" applyNumberFormat="0">
      <alignment vertical="center"/>
    </xf>
    <xf numFmtId="318" fontId="35" fillId="38" borderId="41" applyNumberFormat="0">
      <alignment vertical="center"/>
    </xf>
    <xf numFmtId="318" fontId="35" fillId="89" borderId="41" applyNumberFormat="0">
      <alignment vertical="center"/>
    </xf>
    <xf numFmtId="318" fontId="35" fillId="46" borderId="41" applyNumberFormat="0">
      <alignment vertical="center"/>
    </xf>
    <xf numFmtId="318" fontId="35" fillId="90" borderId="41" applyNumberFormat="0">
      <alignment vertical="center"/>
    </xf>
    <xf numFmtId="318" fontId="35" fillId="80" borderId="41" applyNumberFormat="0">
      <alignment vertical="center"/>
    </xf>
    <xf numFmtId="318" fontId="35" fillId="91" borderId="41" applyNumberFormat="0">
      <alignment vertical="center"/>
    </xf>
    <xf numFmtId="318" fontId="35" fillId="92" borderId="41" applyNumberFormat="0">
      <alignment vertical="center"/>
    </xf>
    <xf numFmtId="318" fontId="169" fillId="45" borderId="41">
      <protection locked="0"/>
    </xf>
    <xf numFmtId="318" fontId="169" fillId="37" borderId="41">
      <protection locked="0"/>
    </xf>
    <xf numFmtId="318" fontId="170" fillId="37" borderId="42"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3">
      <alignment vertical="center"/>
    </xf>
    <xf numFmtId="0" fontId="34" fillId="95" borderId="27" applyNumberFormat="0" applyFont="0" applyAlignment="0">
      <alignment vertical="center"/>
    </xf>
    <xf numFmtId="0" fontId="34" fillId="45" borderId="27" applyNumberFormat="0" applyFont="0" applyAlignment="0">
      <alignment vertical="center"/>
    </xf>
    <xf numFmtId="0" fontId="34" fillId="37" borderId="27" applyNumberFormat="0" applyFont="0" applyAlignment="0">
      <alignment vertical="center"/>
    </xf>
    <xf numFmtId="0" fontId="34" fillId="96" borderId="27"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4" applyNumberFormat="0" applyBorder="0" applyAlignment="0">
      <alignment horizontal="center"/>
      <protection hidden="1"/>
    </xf>
    <xf numFmtId="180" fontId="177" fillId="0" borderId="44" applyNumberFormat="0" applyBorder="0" applyAlignment="0">
      <alignment horizontal="center"/>
      <protection locked="0"/>
    </xf>
    <xf numFmtId="2" fontId="178" fillId="50" borderId="12">
      <alignment horizontal="left"/>
    </xf>
    <xf numFmtId="0" fontId="179" fillId="78" borderId="45"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4" fillId="0" borderId="0" applyNumberFormat="0" applyFont="0" applyFill="0" applyBorder="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4" fillId="0" borderId="0" applyNumberFormat="0" applyFont="0" applyFill="0" applyBorder="0" applyAlignment="0" applyProtection="0"/>
    <xf numFmtId="0" fontId="179" fillId="78"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4" fillId="0" borderId="0" applyNumberFormat="0" applyFont="0" applyFill="0" applyBorder="0" applyAlignment="0" applyProtection="0"/>
    <xf numFmtId="0" fontId="179" fillId="61" borderId="45" applyNumberFormat="0" applyAlignment="0" applyProtection="0"/>
    <xf numFmtId="0" fontId="4" fillId="0" borderId="0" applyNumberFormat="0" applyFont="0" applyFill="0" applyBorder="0" applyAlignment="0" applyProtection="0"/>
    <xf numFmtId="0" fontId="179" fillId="78" borderId="45"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189" fontId="180" fillId="61" borderId="45" applyNumberFormat="0" applyAlignment="0" applyProtection="0"/>
    <xf numFmtId="189" fontId="180" fillId="61" borderId="45"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330" fontId="2" fillId="101" borderId="7">
      <alignment vertical="center"/>
    </xf>
    <xf numFmtId="0"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2" fillId="101"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19" fillId="101" borderId="7">
      <alignment vertical="center"/>
    </xf>
    <xf numFmtId="167" fontId="2" fillId="101" borderId="7">
      <alignment vertical="center"/>
    </xf>
    <xf numFmtId="0" fontId="19" fillId="101" borderId="7">
      <alignment vertical="center"/>
    </xf>
    <xf numFmtId="167" fontId="2" fillId="101" borderId="7">
      <alignment vertical="center"/>
    </xf>
    <xf numFmtId="0" fontId="19" fillId="101" borderId="7">
      <alignment vertical="center"/>
    </xf>
    <xf numFmtId="167" fontId="2" fillId="101" borderId="7">
      <alignment vertical="center"/>
    </xf>
    <xf numFmtId="0" fontId="19" fillId="101" borderId="7">
      <alignment vertical="center"/>
    </xf>
    <xf numFmtId="167"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171" fontId="2" fillId="101" borderId="7">
      <alignment vertical="center"/>
    </xf>
    <xf numFmtId="167"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0" fontId="4" fillId="32" borderId="4" applyNumberFormat="0" applyProtection="0">
      <alignment horizontal="left" vertical="center" indent="1"/>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101" borderId="7">
      <alignment vertical="center"/>
    </xf>
    <xf numFmtId="171" fontId="2" fillId="101" borderId="7">
      <alignment vertical="center"/>
    </xf>
    <xf numFmtId="171" fontId="19" fillId="101" borderId="7">
      <alignment vertical="center"/>
    </xf>
    <xf numFmtId="171" fontId="2" fillId="101" borderId="7">
      <alignment vertical="center"/>
    </xf>
    <xf numFmtId="171" fontId="19" fillId="101" borderId="7">
      <alignment vertical="center"/>
    </xf>
    <xf numFmtId="171" fontId="2"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67" fontId="19" fillId="90"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101" borderId="7">
      <alignment vertical="center"/>
    </xf>
    <xf numFmtId="167" fontId="2" fillId="101" borderId="7">
      <alignment vertical="center"/>
    </xf>
    <xf numFmtId="171" fontId="19" fillId="101" borderId="7">
      <alignment vertical="center"/>
    </xf>
    <xf numFmtId="167" fontId="2" fillId="101" borderId="7">
      <alignment vertical="center"/>
    </xf>
    <xf numFmtId="171" fontId="19" fillId="101" borderId="7">
      <alignment vertical="center"/>
    </xf>
    <xf numFmtId="167" fontId="2" fillId="101" borderId="7">
      <alignment vertical="center"/>
    </xf>
    <xf numFmtId="171" fontId="19" fillId="101" borderId="7">
      <alignment vertical="center"/>
    </xf>
    <xf numFmtId="167"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71"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67"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4" fillId="0" borderId="0" applyNumberFormat="0" applyFont="0" applyFill="0" applyBorder="0" applyAlignment="0" applyProtection="0"/>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101" borderId="7">
      <alignment vertical="center"/>
    </xf>
    <xf numFmtId="331" fontId="2" fillId="101" borderId="7">
      <alignment vertical="center"/>
    </xf>
    <xf numFmtId="171" fontId="19" fillId="101" borderId="7">
      <alignment vertical="center"/>
    </xf>
    <xf numFmtId="331" fontId="2" fillId="101" borderId="7">
      <alignment vertical="center"/>
    </xf>
    <xf numFmtId="171" fontId="19" fillId="101" borderId="7">
      <alignment vertical="center"/>
    </xf>
    <xf numFmtId="331" fontId="2" fillId="101" borderId="7">
      <alignment vertical="center"/>
    </xf>
    <xf numFmtId="171" fontId="19" fillId="101" borderId="7">
      <alignment vertical="center"/>
    </xf>
    <xf numFmtId="33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7">
      <alignment vertical="center"/>
    </xf>
    <xf numFmtId="331" fontId="19"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101" borderId="7">
      <alignment vertical="center"/>
    </xf>
    <xf numFmtId="331" fontId="19"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17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101" borderId="7">
      <alignment vertical="center"/>
    </xf>
    <xf numFmtId="171" fontId="2" fillId="101" borderId="7">
      <alignment vertical="center"/>
    </xf>
    <xf numFmtId="0" fontId="19" fillId="101" borderId="7">
      <alignment vertical="center"/>
    </xf>
    <xf numFmtId="171" fontId="2" fillId="101" borderId="7">
      <alignment vertical="center"/>
    </xf>
    <xf numFmtId="0" fontId="19" fillId="101" borderId="7">
      <alignment vertical="center"/>
    </xf>
    <xf numFmtId="171" fontId="2" fillId="101" borderId="7">
      <alignment vertical="center"/>
    </xf>
    <xf numFmtId="0" fontId="19" fillId="101" borderId="7">
      <alignment vertical="center"/>
    </xf>
    <xf numFmtId="171" fontId="2" fillId="101" borderId="7">
      <alignment vertical="center"/>
    </xf>
    <xf numFmtId="0" fontId="2" fillId="101" borderId="7">
      <alignment vertical="center"/>
    </xf>
    <xf numFmtId="0" fontId="2" fillId="101" borderId="7">
      <alignment vertical="center"/>
    </xf>
    <xf numFmtId="0"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18">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29">
      <alignment horizontal="right"/>
    </xf>
    <xf numFmtId="180" fontId="59" fillId="0" borderId="27" applyNumberFormat="0" applyFont="0" applyBorder="0">
      <alignment horizontal="right"/>
    </xf>
    <xf numFmtId="180" fontId="190" fillId="0" borderId="0" applyFill="0"/>
    <xf numFmtId="180" fontId="59" fillId="0" borderId="0" applyFill="0"/>
    <xf numFmtId="334" fontId="12" fillId="0" borderId="29"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29"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29"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29"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29"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29" applyFill="0"/>
    <xf numFmtId="180" fontId="4" fillId="0" borderId="0" applyNumberFormat="0" applyFont="0" applyFill="0" applyBorder="0" applyAlignment="0"/>
    <xf numFmtId="180" fontId="59" fillId="0" borderId="0" applyFill="0">
      <alignment horizontal="left" indent="6"/>
    </xf>
    <xf numFmtId="335" fontId="39" fillId="46" borderId="12">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 borderId="27">
      <alignment vertical="center"/>
      <protection locked="0"/>
    </xf>
    <xf numFmtId="171" fontId="2" fillId="3" borderId="27">
      <alignment vertical="center"/>
      <protection locked="0"/>
    </xf>
    <xf numFmtId="167" fontId="19" fillId="3" borderId="27">
      <alignment vertical="center"/>
      <protection locked="0"/>
    </xf>
    <xf numFmtId="171" fontId="2" fillId="3" borderId="27">
      <alignment vertical="center"/>
      <protection locked="0"/>
    </xf>
    <xf numFmtId="167" fontId="19" fillId="3" borderId="27">
      <alignment vertical="center"/>
      <protection locked="0"/>
    </xf>
    <xf numFmtId="171" fontId="2" fillId="3" borderId="27">
      <alignment vertical="center"/>
      <protection locked="0"/>
    </xf>
    <xf numFmtId="167" fontId="19" fillId="3" borderId="27">
      <alignment vertical="center"/>
      <protection locked="0"/>
    </xf>
    <xf numFmtId="171"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27">
      <alignment vertical="center"/>
      <protection locked="0"/>
    </xf>
    <xf numFmtId="171" fontId="19"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 borderId="27">
      <alignment vertical="center"/>
      <protection locked="0"/>
    </xf>
    <xf numFmtId="171" fontId="19"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67"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67"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 borderId="27">
      <alignment vertical="center"/>
      <protection locked="0"/>
    </xf>
    <xf numFmtId="167" fontId="2" fillId="3" borderId="27">
      <alignment vertical="center"/>
      <protection locked="0"/>
    </xf>
    <xf numFmtId="167" fontId="19" fillId="3" borderId="27">
      <alignment vertical="center"/>
      <protection locked="0"/>
    </xf>
    <xf numFmtId="167" fontId="2" fillId="3" borderId="27">
      <alignment vertical="center"/>
      <protection locked="0"/>
    </xf>
    <xf numFmtId="167" fontId="19" fillId="3" borderId="27">
      <alignment vertical="center"/>
      <protection locked="0"/>
    </xf>
    <xf numFmtId="167" fontId="2"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27">
      <alignment vertical="center"/>
      <protection locked="0"/>
    </xf>
    <xf numFmtId="171" fontId="19"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 borderId="27">
      <alignment vertical="center"/>
      <protection locked="0"/>
    </xf>
    <xf numFmtId="171" fontId="19"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2" fillId="43"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9"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6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167" fontId="19" fillId="43" borderId="27">
      <alignment vertical="center"/>
    </xf>
    <xf numFmtId="337" fontId="2" fillId="43" borderId="27">
      <alignment vertical="center"/>
    </xf>
    <xf numFmtId="167" fontId="19" fillId="43" borderId="27">
      <alignment vertical="center"/>
    </xf>
    <xf numFmtId="337" fontId="2" fillId="43" borderId="27">
      <alignment vertical="center"/>
    </xf>
    <xf numFmtId="167" fontId="19" fillId="43" borderId="27">
      <alignment vertical="center"/>
    </xf>
    <xf numFmtId="33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27">
      <alignment vertical="center"/>
    </xf>
    <xf numFmtId="331" fontId="19"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43" borderId="27">
      <alignment vertical="center"/>
    </xf>
    <xf numFmtId="331" fontId="19"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19" fillId="38"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43" borderId="27">
      <alignment vertical="center"/>
    </xf>
    <xf numFmtId="337" fontId="2" fillId="43" borderId="27">
      <alignment vertical="center"/>
    </xf>
    <xf numFmtId="171" fontId="19" fillId="43" borderId="27">
      <alignment vertical="center"/>
    </xf>
    <xf numFmtId="337" fontId="2" fillId="43" borderId="27">
      <alignment vertical="center"/>
    </xf>
    <xf numFmtId="171" fontId="19" fillId="43" borderId="27">
      <alignment vertical="center"/>
    </xf>
    <xf numFmtId="337" fontId="2" fillId="43" borderId="27">
      <alignment vertical="center"/>
    </xf>
    <xf numFmtId="171" fontId="19" fillId="43" borderId="27">
      <alignment vertical="center"/>
    </xf>
    <xf numFmtId="337"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71"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171" fontId="19" fillId="38" borderId="27">
      <alignment vertical="center"/>
    </xf>
    <xf numFmtId="337" fontId="2" fillId="43" borderId="27">
      <alignment vertical="center"/>
    </xf>
    <xf numFmtId="171"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43" borderId="27">
      <alignment vertical="center"/>
    </xf>
    <xf numFmtId="171" fontId="2" fillId="43" borderId="27">
      <alignment vertical="center"/>
    </xf>
    <xf numFmtId="0" fontId="19" fillId="43" borderId="27">
      <alignment vertical="center"/>
    </xf>
    <xf numFmtId="171" fontId="2" fillId="43" borderId="27">
      <alignment vertical="center"/>
    </xf>
    <xf numFmtId="0" fontId="19" fillId="43" borderId="27">
      <alignment vertical="center"/>
    </xf>
    <xf numFmtId="171" fontId="2" fillId="43" borderId="27">
      <alignment vertical="center"/>
    </xf>
    <xf numFmtId="0" fontId="19" fillId="43" borderId="27">
      <alignment vertical="center"/>
    </xf>
    <xf numFmtId="171" fontId="2" fillId="43" borderId="27">
      <alignment vertical="center"/>
    </xf>
    <xf numFmtId="0" fontId="2" fillId="43" borderId="27">
      <alignment vertical="center"/>
    </xf>
    <xf numFmtId="0" fontId="2" fillId="43" borderId="27">
      <alignment vertical="center"/>
    </xf>
    <xf numFmtId="0"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43" borderId="27">
      <alignment vertical="center"/>
    </xf>
    <xf numFmtId="171" fontId="2" fillId="43" borderId="27">
      <alignment vertical="center"/>
    </xf>
    <xf numFmtId="167" fontId="19" fillId="43" borderId="27">
      <alignment vertical="center"/>
    </xf>
    <xf numFmtId="171" fontId="2" fillId="43" borderId="27">
      <alignment vertical="center"/>
    </xf>
    <xf numFmtId="167" fontId="19" fillId="43" borderId="27">
      <alignment vertical="center"/>
    </xf>
    <xf numFmtId="171" fontId="2" fillId="43" borderId="27">
      <alignment vertical="center"/>
    </xf>
    <xf numFmtId="167" fontId="19" fillId="43" borderId="27">
      <alignment vertical="center"/>
    </xf>
    <xf numFmtId="171"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67"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19" fillId="38"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2" fillId="44"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27">
      <alignment horizontal="right" vertical="center"/>
      <protection locked="0"/>
    </xf>
    <xf numFmtId="331" fontId="19"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44" borderId="27">
      <alignment horizontal="right" vertical="center"/>
      <protection locked="0"/>
    </xf>
    <xf numFmtId="331" fontId="19"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17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67"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336" fontId="19" fillId="0" borderId="0">
      <protection locked="0"/>
    </xf>
    <xf numFmtId="338" fontId="194" fillId="0" borderId="0"/>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46">
      <protection locked="0"/>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0"/>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46">
      <protection locked="0"/>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alignment horizontal="centerContinuous"/>
    </xf>
    <xf numFmtId="180" fontId="195" fillId="0" borderId="46">
      <alignment horizontal="centerContinuous"/>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protection locked="0"/>
    </xf>
    <xf numFmtId="180" fontId="195" fillId="0" borderId="46">
      <protection locked="0"/>
    </xf>
    <xf numFmtId="180" fontId="196" fillId="0" borderId="47">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4" fillId="45" borderId="4" applyNumberFormat="0" applyProtection="0">
      <alignment vertical="center"/>
    </xf>
    <xf numFmtId="4" fontId="14" fillId="45"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4" fillId="45"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97" fillId="45" borderId="4" applyNumberFormat="0" applyProtection="0">
      <alignment vertical="center"/>
    </xf>
    <xf numFmtId="4" fontId="197" fillId="45"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97" fillId="45" borderId="4" applyNumberFormat="0" applyProtection="0">
      <alignment vertical="center"/>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98" fillId="45" borderId="4" applyNumberFormat="0" applyProtection="0">
      <alignment horizontal="left" vertical="center" indent="1"/>
    </xf>
    <xf numFmtId="4" fontId="198" fillId="45"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98" fillId="45" borderId="4" applyNumberFormat="0" applyProtection="0">
      <alignment horizontal="left" vertical="center"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98" fillId="104" borderId="4" applyNumberFormat="0" applyProtection="0">
      <alignment horizontal="right" vertical="center"/>
    </xf>
    <xf numFmtId="4" fontId="198" fillId="104"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98" fillId="104"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98" fillId="89" borderId="4" applyNumberFormat="0" applyProtection="0">
      <alignment horizontal="right" vertical="center"/>
    </xf>
    <xf numFmtId="4" fontId="198" fillId="89"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98" fillId="89"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98" fillId="86" borderId="4" applyNumberFormat="0" applyProtection="0">
      <alignment horizontal="right" vertical="center"/>
    </xf>
    <xf numFmtId="4" fontId="198" fillId="86"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98" fillId="86"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98" fillId="38" borderId="4" applyNumberFormat="0" applyProtection="0">
      <alignment horizontal="right" vertical="center"/>
    </xf>
    <xf numFmtId="4" fontId="198" fillId="38"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98" fillId="38"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98" fillId="90" borderId="4" applyNumberFormat="0" applyProtection="0">
      <alignment horizontal="right" vertical="center"/>
    </xf>
    <xf numFmtId="4" fontId="198" fillId="90"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98" fillId="90"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98" fillId="37" borderId="4" applyNumberFormat="0" applyProtection="0">
      <alignment horizontal="right" vertical="center"/>
    </xf>
    <xf numFmtId="4" fontId="198" fillId="37"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98" fillId="37"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98" fillId="91" borderId="4" applyNumberFormat="0" applyProtection="0">
      <alignment horizontal="right" vertical="center"/>
    </xf>
    <xf numFmtId="4" fontId="198" fillId="91"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98" fillId="91"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98" fillId="105" borderId="4" applyNumberFormat="0" applyProtection="0">
      <alignment horizontal="right" vertical="center"/>
    </xf>
    <xf numFmtId="4" fontId="198" fillId="105"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98" fillId="105"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98" fillId="97" borderId="4" applyNumberFormat="0" applyProtection="0">
      <alignment horizontal="right" vertical="center"/>
    </xf>
    <xf numFmtId="4" fontId="198" fillId="97"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98" fillId="97" borderId="4" applyNumberFormat="0" applyProtection="0">
      <alignment horizontal="right" vertical="center"/>
    </xf>
    <xf numFmtId="4" fontId="14" fillId="106" borderId="5" applyNumberFormat="0" applyProtection="0">
      <alignment horizontal="left" vertical="center" indent="1"/>
    </xf>
    <xf numFmtId="4" fontId="14" fillId="106" borderId="5"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98" fillId="40" borderId="4" applyNumberFormat="0" applyProtection="0">
      <alignment horizontal="right" vertical="center"/>
    </xf>
    <xf numFmtId="4" fontId="198" fillId="40"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98" fillId="40" borderId="4" applyNumberFormat="0" applyProtection="0">
      <alignment horizontal="right" vertical="center"/>
    </xf>
    <xf numFmtId="4" fontId="13" fillId="30" borderId="0" applyNumberFormat="0" applyProtection="0">
      <alignment horizontal="left" vertical="center" indent="1"/>
    </xf>
    <xf numFmtId="4" fontId="48" fillId="30" borderId="48" applyNumberFormat="0" applyProtection="0">
      <alignment horizontal="left" vertical="center" indent="1"/>
    </xf>
    <xf numFmtId="4" fontId="13" fillId="19" borderId="0" applyNumberFormat="0" applyProtection="0">
      <alignment horizontal="left" vertical="center" indent="1"/>
    </xf>
    <xf numFmtId="4" fontId="48" fillId="19" borderId="48"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8" fillId="61" borderId="49" applyNumberFormat="0" applyProtection="0">
      <alignment horizontal="left" vertical="center"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8" fillId="31" borderId="4" applyNumberFormat="0" applyProtection="0">
      <alignment horizontal="left" vertical="top"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8" fillId="83" borderId="49" applyNumberFormat="0" applyProtection="0">
      <alignment horizontal="left" vertical="center"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8" fillId="19" borderId="4" applyNumberFormat="0" applyProtection="0">
      <alignment horizontal="left" vertical="top"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8" fillId="32" borderId="49" applyNumberFormat="0" applyProtection="0">
      <alignment horizontal="left" vertical="center"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8" fillId="32" borderId="4" applyNumberFormat="0" applyProtection="0">
      <alignment horizontal="left" vertical="top"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8" fillId="30" borderId="49" applyNumberFormat="0" applyProtection="0">
      <alignment horizontal="left" vertical="center"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8" fillId="30" borderId="4" applyNumberFormat="0" applyProtection="0">
      <alignment horizontal="left" vertical="top" indent="1"/>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8" fillId="33" borderId="50" applyNumberFormat="0">
      <protection locked="0"/>
    </xf>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98" fillId="107" borderId="4" applyNumberFormat="0" applyProtection="0">
      <alignment vertical="center"/>
    </xf>
    <xf numFmtId="4" fontId="198" fillId="107"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98" fillId="107"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99" fillId="107" borderId="4" applyNumberFormat="0" applyProtection="0">
      <alignment vertical="center"/>
    </xf>
    <xf numFmtId="4" fontId="199" fillId="107"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99" fillId="107" borderId="4" applyNumberFormat="0" applyProtection="0">
      <alignment vertical="center"/>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4" fillId="40" borderId="52" applyNumberFormat="0" applyProtection="0">
      <alignment horizontal="left" vertical="center" indent="1"/>
    </xf>
    <xf numFmtId="4" fontId="14" fillId="40" borderId="52"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4" fillId="40" borderId="52" applyNumberFormat="0" applyProtection="0">
      <alignment horizontal="left" vertical="center"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98" fillId="107" borderId="4" applyNumberFormat="0" applyProtection="0">
      <alignment horizontal="right" vertical="center"/>
    </xf>
    <xf numFmtId="4" fontId="198" fillId="107"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98" fillId="107"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99" fillId="107" borderId="4" applyNumberFormat="0" applyProtection="0">
      <alignment horizontal="right" vertical="center"/>
    </xf>
    <xf numFmtId="4" fontId="199" fillId="107"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99" fillId="107" borderId="4" applyNumberFormat="0" applyProtection="0">
      <alignment horizontal="right" vertical="center"/>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4" fillId="40" borderId="4" applyNumberFormat="0" applyProtection="0">
      <alignment horizontal="left" vertical="center" indent="1"/>
    </xf>
    <xf numFmtId="4" fontId="14" fillId="40"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4" fillId="40" borderId="4" applyNumberFormat="0" applyProtection="0">
      <alignment horizontal="left" vertical="center"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4" fontId="16" fillId="108" borderId="52" applyNumberFormat="0" applyProtection="0">
      <alignment horizontal="left" vertical="center" indent="1"/>
    </xf>
    <xf numFmtId="4" fontId="16" fillId="108" borderId="52" applyNumberFormat="0" applyProtection="0">
      <alignment horizontal="left" vertical="center" indent="1"/>
    </xf>
    <xf numFmtId="4" fontId="16" fillId="108" borderId="52" applyNumberFormat="0" applyProtection="0">
      <alignment horizontal="left" vertical="center" indent="1"/>
    </xf>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8" fillId="109" borderId="7"/>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8" fillId="109" borderId="7"/>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180" fontId="48" fillId="109" borderId="7"/>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0" fontId="4" fillId="0" borderId="0" applyNumberFormat="0" applyFont="0" applyFill="0" applyBorder="0" applyAlignment="0" applyProtection="0"/>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0" fontId="4" fillId="0" borderId="0" applyNumberFormat="0" applyFont="0" applyFill="0" applyBorder="0" applyAlignment="0" applyProtection="0"/>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200" fillId="107" borderId="4" applyNumberFormat="0" applyProtection="0">
      <alignment horizontal="right" vertical="center"/>
    </xf>
    <xf numFmtId="38" fontId="201" fillId="0" borderId="53">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4" applyNumberFormat="0"/>
    <xf numFmtId="40" fontId="4" fillId="0" borderId="0" applyBorder="0">
      <alignment horizontal="right"/>
    </xf>
    <xf numFmtId="37" fontId="59" fillId="0" borderId="54" applyNumberFormat="0"/>
    <xf numFmtId="40" fontId="219" fillId="0" borderId="0" applyBorder="0">
      <alignment horizontal="right"/>
    </xf>
    <xf numFmtId="0" fontId="220" fillId="0" borderId="55"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7">
      <protection locked="0"/>
    </xf>
    <xf numFmtId="0" fontId="211" fillId="46" borderId="7">
      <protection locked="0"/>
    </xf>
    <xf numFmtId="180" fontId="221" fillId="0" borderId="0" applyBorder="0" applyProtection="0">
      <alignment vertical="center"/>
    </xf>
    <xf numFmtId="180" fontId="221" fillId="0" borderId="10" applyBorder="0" applyProtection="0">
      <alignment horizontal="right" vertical="center"/>
    </xf>
    <xf numFmtId="180" fontId="222" fillId="115" borderId="0" applyBorder="0" applyProtection="0">
      <alignment horizontal="centerContinuous" vertical="center"/>
    </xf>
    <xf numFmtId="180" fontId="222" fillId="114" borderId="10"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1"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4" applyNumberFormat="0" applyFont="0" applyFill="0" applyAlignment="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10" fillId="0" borderId="56"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4" fillId="0" borderId="0" applyNumberFormat="0" applyFont="0" applyFill="0" applyBorder="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7"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57" applyNumberFormat="0" applyFill="0" applyAlignment="0" applyProtection="0"/>
    <xf numFmtId="189" fontId="234" fillId="0" borderId="57" applyNumberFormat="0" applyFill="0" applyAlignment="0" applyProtection="0"/>
    <xf numFmtId="0" fontId="4" fillId="0" borderId="0" applyNumberFormat="0" applyFont="0" applyFill="0" applyBorder="0" applyAlignment="0" applyProtection="0"/>
    <xf numFmtId="37" fontId="59" fillId="0" borderId="58" applyNumberFormat="0" applyFill="0"/>
    <xf numFmtId="315" fontId="87" fillId="0" borderId="59" applyAlignment="0"/>
    <xf numFmtId="316" fontId="87" fillId="0" borderId="59" applyAlignment="0"/>
    <xf numFmtId="173" fontId="46" fillId="0" borderId="59"/>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4" applyProtection="0"/>
    <xf numFmtId="4" fontId="46" fillId="0" borderId="0">
      <protection locked="0"/>
    </xf>
    <xf numFmtId="343" fontId="187" fillId="46" borderId="11"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27">
      <alignment vertical="center"/>
    </xf>
    <xf numFmtId="167" fontId="2" fillId="3" borderId="27">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27">
      <alignment vertical="center"/>
    </xf>
    <xf numFmtId="10" fontId="31" fillId="0" borderId="0" applyFont="0" applyFill="0" applyBorder="0" applyAlignment="0" applyProtection="0">
      <alignment vertical="center"/>
    </xf>
    <xf numFmtId="353" fontId="4" fillId="0" borderId="0"/>
    <xf numFmtId="353" fontId="4" fillId="0" borderId="0"/>
    <xf numFmtId="353" fontId="7" fillId="0" borderId="0"/>
    <xf numFmtId="353" fontId="4"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7" fillId="0" borderId="0"/>
    <xf numFmtId="353" fontId="7" fillId="0" borderId="0"/>
    <xf numFmtId="353" fontId="7" fillId="0" borderId="0"/>
    <xf numFmtId="353" fontId="4" fillId="0" borderId="0"/>
    <xf numFmtId="353" fontId="7" fillId="0" borderId="0"/>
    <xf numFmtId="353" fontId="4" fillId="0" borderId="0"/>
    <xf numFmtId="353" fontId="7"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3"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3" fillId="0" borderId="0"/>
    <xf numFmtId="353" fontId="4" fillId="0" borderId="0" applyFont="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lignment vertical="center"/>
    </xf>
    <xf numFmtId="353" fontId="7" fillId="0" borderId="0"/>
    <xf numFmtId="353" fontId="7" fillId="0" borderId="0"/>
    <xf numFmtId="353" fontId="7" fillId="0" borderId="0"/>
    <xf numFmtId="353" fontId="7" fillId="0" borderId="0"/>
    <xf numFmtId="353" fontId="4" fillId="0" borderId="0">
      <alignment vertical="center"/>
    </xf>
    <xf numFmtId="353" fontId="4" fillId="0" borderId="0">
      <alignment vertical="center"/>
    </xf>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7" fillId="0" borderId="0">
      <alignment vertical="justify"/>
    </xf>
    <xf numFmtId="353" fontId="13" fillId="30" borderId="0" applyNumberFormat="0" applyBorder="0" applyAlignment="0" applyProtection="0"/>
    <xf numFmtId="353" fontId="13" fillId="30" borderId="0" applyNumberFormat="0" applyBorder="0" applyAlignment="0" applyProtection="0"/>
    <xf numFmtId="353" fontId="13" fillId="19" borderId="0" applyNumberFormat="0" applyBorder="0" applyAlignment="0" applyProtection="0"/>
    <xf numFmtId="353" fontId="13" fillId="19" borderId="0" applyNumberFormat="0" applyBorder="0" applyAlignment="0" applyProtection="0"/>
    <xf numFmtId="353" fontId="13" fillId="27" borderId="0" applyNumberFormat="0" applyBorder="0" applyAlignment="0" applyProtection="0"/>
    <xf numFmtId="353" fontId="13" fillId="27" borderId="0" applyNumberFormat="0" applyBorder="0" applyAlignment="0" applyProtection="0"/>
    <xf numFmtId="353" fontId="13" fillId="119" borderId="0" applyNumberFormat="0" applyBorder="0" applyAlignment="0" applyProtection="0"/>
    <xf numFmtId="353" fontId="13" fillId="119" borderId="0" applyNumberFormat="0" applyBorder="0" applyAlignment="0" applyProtection="0"/>
    <xf numFmtId="353" fontId="13" fillId="30" borderId="0" applyNumberFormat="0" applyBorder="0" applyAlignment="0" applyProtection="0"/>
    <xf numFmtId="353" fontId="13" fillId="30" borderId="0" applyNumberFormat="0" applyBorder="0" applyAlignment="0" applyProtection="0"/>
    <xf numFmtId="353" fontId="13" fillId="60" borderId="0" applyNumberFormat="0" applyBorder="0" applyAlignment="0" applyProtection="0"/>
    <xf numFmtId="353" fontId="13" fillId="60" borderId="0" applyNumberFormat="0" applyBorder="0" applyAlignment="0" applyProtection="0"/>
    <xf numFmtId="353" fontId="13" fillId="61" borderId="0" applyNumberFormat="0" applyBorder="0" applyAlignment="0" applyProtection="0"/>
    <xf numFmtId="353" fontId="13" fillId="61" borderId="0" applyNumberFormat="0" applyBorder="0" applyAlignment="0" applyProtection="0"/>
    <xf numFmtId="353" fontId="13" fillId="19" borderId="0" applyNumberFormat="0" applyBorder="0" applyAlignment="0" applyProtection="0"/>
    <xf numFmtId="353" fontId="13" fillId="19" borderId="0" applyNumberFormat="0" applyBorder="0" applyAlignment="0" applyProtection="0"/>
    <xf numFmtId="353" fontId="13" fillId="26" borderId="0" applyNumberFormat="0" applyBorder="0" applyAlignment="0" applyProtection="0"/>
    <xf numFmtId="353" fontId="13" fillId="26" borderId="0" applyNumberFormat="0" applyBorder="0" applyAlignment="0" applyProtection="0"/>
    <xf numFmtId="353" fontId="13" fillId="120" borderId="0" applyNumberFormat="0" applyBorder="0" applyAlignment="0" applyProtection="0"/>
    <xf numFmtId="353" fontId="13" fillId="120" borderId="0" applyNumberFormat="0" applyBorder="0" applyAlignment="0" applyProtection="0"/>
    <xf numFmtId="353" fontId="13" fillId="31" borderId="0" applyNumberFormat="0" applyBorder="0" applyAlignment="0" applyProtection="0"/>
    <xf numFmtId="353" fontId="13" fillId="31" borderId="0" applyNumberFormat="0" applyBorder="0" applyAlignment="0" applyProtection="0"/>
    <xf numFmtId="353" fontId="13" fillId="60" borderId="0" applyNumberFormat="0" applyBorder="0" applyAlignment="0" applyProtection="0"/>
    <xf numFmtId="353" fontId="13" fillId="60" borderId="0" applyNumberFormat="0" applyBorder="0" applyAlignment="0" applyProtection="0"/>
    <xf numFmtId="353" fontId="56" fillId="121" borderId="0" applyNumberFormat="0" applyBorder="0" applyAlignment="0" applyProtection="0"/>
    <xf numFmtId="353" fontId="56" fillId="121" borderId="0" applyNumberFormat="0" applyBorder="0" applyAlignment="0" applyProtection="0"/>
    <xf numFmtId="353" fontId="56" fillId="19" borderId="0" applyNumberFormat="0" applyBorder="0" applyAlignment="0" applyProtection="0"/>
    <xf numFmtId="353" fontId="56" fillId="19" borderId="0" applyNumberFormat="0" applyBorder="0" applyAlignment="0" applyProtection="0"/>
    <xf numFmtId="353" fontId="56" fillId="26" borderId="0" applyNumberFormat="0" applyBorder="0" applyAlignment="0" applyProtection="0"/>
    <xf numFmtId="353" fontId="56" fillId="26" borderId="0" applyNumberFormat="0" applyBorder="0" applyAlignment="0" applyProtection="0"/>
    <xf numFmtId="353" fontId="56" fillId="120" borderId="0" applyNumberFormat="0" applyBorder="0" applyAlignment="0" applyProtection="0"/>
    <xf numFmtId="353" fontId="56" fillId="120" borderId="0" applyNumberFormat="0" applyBorder="0" applyAlignment="0" applyProtection="0"/>
    <xf numFmtId="353" fontId="56" fillId="121" borderId="0" applyNumberFormat="0" applyBorder="0" applyAlignment="0" applyProtection="0"/>
    <xf numFmtId="353" fontId="56" fillId="121" borderId="0" applyNumberFormat="0" applyBorder="0" applyAlignment="0" applyProtection="0"/>
    <xf numFmtId="353" fontId="56" fillId="23" borderId="0" applyNumberFormat="0" applyBorder="0" applyAlignment="0" applyProtection="0"/>
    <xf numFmtId="353" fontId="56" fillId="23" borderId="0" applyNumberFormat="0" applyBorder="0" applyAlignment="0" applyProtection="0"/>
    <xf numFmtId="353" fontId="8" fillId="65" borderId="0" applyNumberFormat="0" applyBorder="0" applyAlignment="0" applyProtection="0"/>
    <xf numFmtId="353" fontId="8" fillId="12" borderId="0" applyNumberFormat="0" applyBorder="0" applyAlignment="0" applyProtection="0"/>
    <xf numFmtId="353" fontId="9" fillId="122" borderId="0" applyNumberFormat="0" applyBorder="0" applyAlignment="0" applyProtection="0"/>
    <xf numFmtId="353" fontId="9" fillId="66" borderId="0" applyNumberFormat="0" applyBorder="0" applyAlignment="0" applyProtection="0"/>
    <xf numFmtId="353" fontId="9" fillId="66" borderId="0" applyNumberFormat="0" applyBorder="0" applyAlignment="0" applyProtection="0"/>
    <xf numFmtId="353" fontId="8" fillId="68" borderId="0" applyNumberFormat="0" applyBorder="0" applyAlignment="0" applyProtection="0"/>
    <xf numFmtId="353" fontId="8" fillId="11" borderId="0" applyNumberFormat="0" applyBorder="0" applyAlignment="0" applyProtection="0"/>
    <xf numFmtId="353" fontId="9" fillId="8" borderId="0" applyNumberFormat="0" applyBorder="0" applyAlignment="0" applyProtection="0"/>
    <xf numFmtId="353" fontId="9" fillId="69" borderId="0" applyNumberFormat="0" applyBorder="0" applyAlignment="0" applyProtection="0"/>
    <xf numFmtId="353" fontId="9" fillId="69" borderId="0" applyNumberFormat="0" applyBorder="0" applyAlignment="0" applyProtection="0"/>
    <xf numFmtId="353" fontId="8" fillId="70" borderId="0" applyNumberFormat="0" applyBorder="0" applyAlignment="0" applyProtection="0"/>
    <xf numFmtId="353" fontId="8" fillId="71" borderId="0" applyNumberFormat="0" applyBorder="0" applyAlignment="0" applyProtection="0"/>
    <xf numFmtId="353" fontId="9" fillId="123" borderId="0" applyNumberFormat="0" applyBorder="0" applyAlignment="0" applyProtection="0"/>
    <xf numFmtId="353" fontId="9" fillId="124" borderId="0" applyNumberFormat="0" applyBorder="0" applyAlignment="0" applyProtection="0"/>
    <xf numFmtId="353" fontId="9" fillId="124" borderId="0" applyNumberFormat="0" applyBorder="0" applyAlignment="0" applyProtection="0"/>
    <xf numFmtId="353" fontId="8" fillId="68" borderId="0" applyNumberFormat="0" applyBorder="0" applyAlignment="0" applyProtection="0"/>
    <xf numFmtId="353" fontId="8" fillId="9" borderId="0" applyNumberFormat="0" applyBorder="0" applyAlignment="0" applyProtection="0"/>
    <xf numFmtId="353" fontId="9" fillId="11" borderId="0" applyNumberFormat="0" applyBorder="0" applyAlignment="0" applyProtection="0"/>
    <xf numFmtId="353" fontId="9" fillId="125" borderId="0" applyNumberFormat="0" applyBorder="0" applyAlignment="0" applyProtection="0"/>
    <xf numFmtId="353" fontId="9" fillId="125" borderId="0" applyNumberFormat="0" applyBorder="0" applyAlignment="0" applyProtection="0"/>
    <xf numFmtId="353" fontId="8" fillId="10" borderId="0" applyNumberFormat="0" applyBorder="0" applyAlignment="0" applyProtection="0"/>
    <xf numFmtId="353" fontId="8" fillId="5" borderId="0" applyNumberFormat="0" applyBorder="0" applyAlignment="0" applyProtection="0"/>
    <xf numFmtId="353" fontId="9" fillId="122" borderId="0" applyNumberFormat="0" applyBorder="0" applyAlignment="0" applyProtection="0"/>
    <xf numFmtId="353" fontId="9" fillId="122" borderId="0" applyNumberFormat="0" applyBorder="0" applyAlignment="0" applyProtection="0"/>
    <xf numFmtId="353" fontId="9" fillId="122" borderId="0" applyNumberFormat="0" applyBorder="0" applyAlignment="0" applyProtection="0"/>
    <xf numFmtId="353" fontId="8" fillId="13" borderId="0" applyNumberFormat="0" applyBorder="0" applyAlignment="0" applyProtection="0"/>
    <xf numFmtId="353" fontId="8" fillId="14" borderId="0" applyNumberFormat="0" applyBorder="0" applyAlignment="0" applyProtection="0"/>
    <xf numFmtId="353" fontId="9" fillId="126" borderId="0" applyNumberFormat="0" applyBorder="0" applyAlignment="0" applyProtection="0"/>
    <xf numFmtId="353" fontId="9" fillId="127" borderId="0" applyNumberFormat="0" applyBorder="0" applyAlignment="0" applyProtection="0"/>
    <xf numFmtId="353" fontId="9" fillId="127" borderId="0" applyNumberFormat="0" applyBorder="0" applyAlignment="0" applyProtection="0"/>
    <xf numFmtId="353" fontId="247" fillId="13" borderId="0" applyNumberFormat="0" applyBorder="0" applyAlignment="0" applyProtection="0"/>
    <xf numFmtId="353" fontId="247" fillId="13" borderId="0" applyNumberFormat="0" applyBorder="0" applyAlignment="0" applyProtection="0"/>
    <xf numFmtId="353" fontId="248" fillId="128" borderId="110" applyNumberFormat="0" applyAlignment="0" applyProtection="0"/>
    <xf numFmtId="353" fontId="248" fillId="128" borderId="110" applyNumberFormat="0" applyAlignment="0" applyProtection="0"/>
    <xf numFmtId="353" fontId="85" fillId="125" borderId="16" applyNumberFormat="0" applyAlignment="0" applyProtection="0"/>
    <xf numFmtId="353" fontId="85" fillId="125" borderId="16" applyNumberFormat="0" applyAlignment="0" applyProtection="0"/>
    <xf numFmtId="37" fontId="59" fillId="0" borderId="89">
      <alignment horizontal="center"/>
    </xf>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3" fontId="10" fillId="129" borderId="0" applyNumberFormat="0" applyBorder="0" applyAlignment="0" applyProtection="0"/>
    <xf numFmtId="353" fontId="10" fillId="130" borderId="0" applyNumberFormat="0" applyBorder="0" applyAlignment="0" applyProtection="0"/>
    <xf numFmtId="353" fontId="10" fillId="17" borderId="0" applyNumberFormat="0" applyBorder="0" applyAlignment="0" applyProtection="0"/>
    <xf numFmtId="353" fontId="44" fillId="0" borderId="0" applyFont="0" applyFill="0" applyBorder="0" applyAlignment="0" applyProtection="0"/>
    <xf numFmtId="353" fontId="249" fillId="0" borderId="0" applyNumberFormat="0" applyFill="0" applyBorder="0" applyAlignment="0" applyProtection="0"/>
    <xf numFmtId="353" fontId="249" fillId="0" borderId="0" applyNumberFormat="0" applyFill="0" applyBorder="0" applyAlignment="0" applyProtection="0"/>
    <xf numFmtId="353" fontId="8" fillId="71" borderId="0" applyNumberFormat="0" applyBorder="0" applyAlignment="0" applyProtection="0"/>
    <xf numFmtId="353" fontId="8" fillId="71" borderId="0" applyNumberForma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117" fillId="0" borderId="30" applyNumberFormat="0" applyFill="0" applyAlignment="0" applyProtection="0"/>
    <xf numFmtId="353" fontId="117" fillId="0" borderId="30" applyNumberFormat="0" applyFill="0" applyAlignment="0" applyProtection="0"/>
    <xf numFmtId="353" fontId="120" fillId="0" borderId="111" applyNumberFormat="0" applyFill="0" applyAlignment="0" applyProtection="0"/>
    <xf numFmtId="353" fontId="120" fillId="0" borderId="111" applyNumberFormat="0" applyFill="0" applyAlignment="0" applyProtection="0"/>
    <xf numFmtId="353" fontId="123" fillId="0" borderId="112" applyNumberFormat="0" applyFill="0" applyAlignment="0" applyProtection="0"/>
    <xf numFmtId="353" fontId="123" fillId="0" borderId="112" applyNumberFormat="0" applyFill="0" applyAlignment="0" applyProtection="0"/>
    <xf numFmtId="353" fontId="123" fillId="0" borderId="0" applyNumberFormat="0" applyFill="0" applyBorder="0" applyAlignment="0" applyProtection="0"/>
    <xf numFmtId="353" fontId="123" fillId="0" borderId="0" applyNumberFormat="0" applyFill="0" applyBorder="0" applyAlignment="0" applyProtection="0"/>
    <xf numFmtId="353" fontId="137" fillId="14" borderId="110" applyNumberFormat="0" applyAlignment="0" applyProtection="0"/>
    <xf numFmtId="353" fontId="137" fillId="14" borderId="110" applyNumberFormat="0" applyAlignment="0" applyProtection="0"/>
    <xf numFmtId="353" fontId="140" fillId="34" borderId="0"/>
    <xf numFmtId="353" fontId="113" fillId="0" borderId="113" applyNumberFormat="0" applyFill="0" applyAlignment="0" applyProtection="0"/>
    <xf numFmtId="353" fontId="113" fillId="0" borderId="113" applyNumberFormat="0" applyFill="0" applyAlignment="0" applyProtection="0"/>
    <xf numFmtId="353" fontId="113" fillId="14" borderId="0" applyNumberFormat="0" applyBorder="0" applyAlignment="0" applyProtection="0"/>
    <xf numFmtId="353" fontId="113" fillId="14" borderId="0" applyNumberFormat="0" applyBorder="0" applyAlignment="0" applyProtection="0"/>
    <xf numFmtId="353" fontId="19" fillId="0" borderId="0"/>
    <xf numFmtId="353" fontId="19" fillId="0" borderId="0"/>
    <xf numFmtId="353" fontId="19" fillId="0" borderId="0"/>
    <xf numFmtId="353" fontId="19" fillId="0" borderId="0"/>
    <xf numFmtId="353" fontId="19" fillId="0" borderId="0"/>
    <xf numFmtId="353" fontId="4" fillId="0" borderId="0"/>
    <xf numFmtId="353" fontId="4" fillId="0" borderId="0"/>
    <xf numFmtId="353" fontId="4" fillId="0" borderId="0"/>
    <xf numFmtId="353" fontId="4" fillId="0" borderId="0"/>
    <xf numFmtId="0" fontId="2" fillId="0" borderId="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8" fillId="0" borderId="0"/>
    <xf numFmtId="353" fontId="8" fillId="0" borderId="0" applyFill="0" applyBorder="0" applyAlignment="0" applyProtection="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2"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23" fillId="0" borderId="0"/>
    <xf numFmtId="353" fontId="1" fillId="0" borderId="0"/>
    <xf numFmtId="353" fontId="4"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1" fillId="0" borderId="0"/>
    <xf numFmtId="353" fontId="1" fillId="0" borderId="0"/>
    <xf numFmtId="353" fontId="1" fillId="0" borderId="0"/>
    <xf numFmtId="353" fontId="1" fillId="0" borderId="0"/>
    <xf numFmtId="353" fontId="1" fillId="0" borderId="0"/>
    <xf numFmtId="353" fontId="1"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1" fillId="0" borderId="0"/>
    <xf numFmtId="353" fontId="1"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8" fillId="0" borderId="0" applyFill="0" applyBorder="0" applyAlignment="0" applyProtection="0"/>
    <xf numFmtId="353" fontId="19"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7" fillId="0" borderId="0">
      <alignment vertical="top"/>
    </xf>
    <xf numFmtId="353" fontId="101" fillId="0" borderId="0" applyFill="0" applyBorder="0">
      <protection locked="0"/>
    </xf>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79" fillId="128" borderId="114" applyNumberFormat="0" applyAlignment="0" applyProtection="0"/>
    <xf numFmtId="353" fontId="179" fillId="128" borderId="11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27">
      <alignment vertical="center"/>
    </xf>
    <xf numFmtId="167" fontId="19" fillId="90" borderId="27">
      <alignment vertical="center"/>
    </xf>
    <xf numFmtId="167" fontId="19" fillId="90" borderId="27">
      <alignment vertical="center"/>
    </xf>
    <xf numFmtId="353" fontId="19" fillId="90" borderId="27">
      <alignment vertical="center"/>
    </xf>
    <xf numFmtId="353" fontId="19" fillId="90" borderId="27">
      <alignment vertical="center"/>
    </xf>
    <xf numFmtId="353" fontId="19" fillId="90" borderId="27">
      <alignment vertical="center"/>
    </xf>
    <xf numFmtId="353" fontId="19" fillId="90" borderId="27">
      <alignment vertical="center"/>
    </xf>
    <xf numFmtId="171" fontId="19" fillId="90" borderId="27">
      <alignment vertical="center"/>
    </xf>
    <xf numFmtId="171" fontId="19" fillId="90" borderId="27">
      <alignment vertical="center"/>
    </xf>
    <xf numFmtId="330" fontId="19" fillId="90" borderId="27">
      <alignment vertical="center"/>
    </xf>
    <xf numFmtId="353" fontId="192" fillId="0" borderId="0"/>
    <xf numFmtId="353" fontId="19" fillId="36" borderId="27">
      <alignment vertical="center"/>
      <protection locked="0"/>
    </xf>
    <xf numFmtId="353" fontId="19" fillId="36" borderId="27">
      <alignment vertical="center"/>
      <protection locked="0"/>
    </xf>
    <xf numFmtId="353" fontId="19" fillId="36" borderId="27">
      <alignment vertical="center"/>
      <protection locked="0"/>
    </xf>
    <xf numFmtId="353" fontId="19" fillId="36" borderId="27">
      <alignment vertical="center"/>
      <protection locked="0"/>
    </xf>
    <xf numFmtId="330" fontId="19" fillId="38" borderId="27">
      <alignment vertical="center"/>
    </xf>
    <xf numFmtId="353" fontId="19" fillId="38" borderId="27">
      <alignment vertical="center"/>
    </xf>
    <xf numFmtId="353" fontId="19" fillId="38" borderId="27">
      <alignment vertical="center"/>
    </xf>
    <xf numFmtId="353" fontId="19" fillId="38" borderId="27">
      <alignment vertical="center"/>
    </xf>
    <xf numFmtId="353" fontId="19" fillId="38" borderId="27">
      <alignment vertical="center"/>
    </xf>
    <xf numFmtId="353" fontId="19" fillId="39" borderId="27">
      <alignment horizontal="right" vertical="center"/>
      <protection locked="0"/>
    </xf>
    <xf numFmtId="353" fontId="19" fillId="39" borderId="27">
      <alignment horizontal="right" vertical="center"/>
      <protection locked="0"/>
    </xf>
    <xf numFmtId="330" fontId="19" fillId="39" borderId="27">
      <alignment horizontal="right" vertical="center"/>
      <protection locked="0"/>
    </xf>
    <xf numFmtId="330" fontId="19" fillId="39" borderId="27">
      <alignment horizontal="right" vertical="center"/>
      <protection locked="0"/>
    </xf>
    <xf numFmtId="4" fontId="48" fillId="18" borderId="110" applyNumberFormat="0" applyProtection="0">
      <alignment vertical="center"/>
    </xf>
    <xf numFmtId="4" fontId="250" fillId="45" borderId="110" applyNumberFormat="0" applyProtection="0">
      <alignment vertical="center"/>
    </xf>
    <xf numFmtId="4" fontId="48" fillId="45" borderId="110" applyNumberFormat="0" applyProtection="0">
      <alignment horizontal="left" vertical="center" indent="1"/>
    </xf>
    <xf numFmtId="353" fontId="251" fillId="18" borderId="115" applyNumberFormat="0" applyProtection="0">
      <alignment horizontal="left" vertical="top" indent="1"/>
    </xf>
    <xf numFmtId="4" fontId="48" fillId="64" borderId="110" applyNumberFormat="0" applyProtection="0">
      <alignment horizontal="left" vertical="center" indent="1"/>
    </xf>
    <xf numFmtId="4" fontId="48" fillId="20" borderId="110" applyNumberFormat="0" applyProtection="0">
      <alignment horizontal="right" vertical="center"/>
    </xf>
    <xf numFmtId="4" fontId="48" fillId="131" borderId="110" applyNumberFormat="0" applyProtection="0">
      <alignment horizontal="right" vertical="center"/>
    </xf>
    <xf numFmtId="4" fontId="48" fillId="22" borderId="116" applyNumberFormat="0" applyProtection="0">
      <alignment horizontal="right" vertical="center"/>
    </xf>
    <xf numFmtId="4" fontId="48" fillId="23" borderId="110" applyNumberFormat="0" applyProtection="0">
      <alignment horizontal="right" vertical="center"/>
    </xf>
    <xf numFmtId="4" fontId="48" fillId="24" borderId="110" applyNumberFormat="0" applyProtection="0">
      <alignment horizontal="right" vertical="center"/>
    </xf>
    <xf numFmtId="4" fontId="48" fillId="25" borderId="110" applyNumberFormat="0" applyProtection="0">
      <alignment horizontal="right" vertical="center"/>
    </xf>
    <xf numFmtId="4" fontId="48" fillId="26" borderId="110" applyNumberFormat="0" applyProtection="0">
      <alignment horizontal="right" vertical="center"/>
    </xf>
    <xf numFmtId="4" fontId="48" fillId="27" borderId="110" applyNumberFormat="0" applyProtection="0">
      <alignment horizontal="right" vertical="center"/>
    </xf>
    <xf numFmtId="4" fontId="48" fillId="28" borderId="110" applyNumberFormat="0" applyProtection="0">
      <alignment horizontal="right" vertical="center"/>
    </xf>
    <xf numFmtId="4" fontId="48" fillId="29" borderId="116" applyNumberFormat="0" applyProtection="0">
      <alignment horizontal="left" vertical="center" indent="1"/>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19" borderId="110" applyNumberFormat="0" applyProtection="0">
      <alignment horizontal="right" vertical="center"/>
    </xf>
    <xf numFmtId="4" fontId="48" fillId="30" borderId="116" applyNumberFormat="0" applyProtection="0">
      <alignment horizontal="left" vertical="center" indent="1"/>
    </xf>
    <xf numFmtId="4" fontId="48" fillId="19" borderId="116" applyNumberFormat="0" applyProtection="0">
      <alignment horizontal="left" vertical="center" indent="1"/>
    </xf>
    <xf numFmtId="353" fontId="48" fillId="61" borderId="110" applyNumberFormat="0" applyProtection="0">
      <alignment horizontal="left" vertical="center" indent="1"/>
    </xf>
    <xf numFmtId="353" fontId="4" fillId="31" borderId="115" applyNumberFormat="0" applyProtection="0">
      <alignment horizontal="left" vertical="center"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83" borderId="110" applyNumberFormat="0" applyProtection="0">
      <alignment horizontal="left" vertical="center" indent="1"/>
    </xf>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0" applyNumberFormat="0" applyProtection="0">
      <alignment horizontal="left" vertical="center"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4" fillId="30" borderId="115" applyNumberFormat="0" applyProtection="0">
      <alignment horizontal="left" vertical="center"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3" borderId="50" applyNumberFormat="0">
      <protection locked="0"/>
    </xf>
    <xf numFmtId="353" fontId="4" fillId="33" borderId="27"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88" fillId="31" borderId="117" applyBorder="0"/>
    <xf numFmtId="4" fontId="252" fillId="34" borderId="115" applyNumberFormat="0" applyProtection="0">
      <alignment vertical="center"/>
    </xf>
    <xf numFmtId="4" fontId="250" fillId="36" borderId="27" applyNumberFormat="0" applyProtection="0">
      <alignment vertical="center"/>
    </xf>
    <xf numFmtId="4" fontId="252" fillId="61" borderId="115" applyNumberFormat="0" applyProtection="0">
      <alignment horizontal="left" vertical="center" indent="1"/>
    </xf>
    <xf numFmtId="353" fontId="252" fillId="34" borderId="115" applyNumberFormat="0" applyProtection="0">
      <alignment horizontal="left" vertical="top" indent="1"/>
    </xf>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353" fontId="252" fillId="19" borderId="115" applyNumberFormat="0" applyProtection="0">
      <alignment horizontal="left" vertical="top" indent="1"/>
    </xf>
    <xf numFmtId="4" fontId="253" fillId="35" borderId="116" applyNumberFormat="0" applyProtection="0">
      <alignment horizontal="left" vertical="center" indent="1"/>
    </xf>
    <xf numFmtId="353" fontId="48" fillId="109" borderId="27"/>
    <xf numFmtId="4" fontId="254" fillId="33" borderId="110" applyNumberFormat="0" applyProtection="0">
      <alignment horizontal="right" vertical="center"/>
    </xf>
    <xf numFmtId="353" fontId="18" fillId="0" borderId="0" applyNumberFormat="0" applyFill="0" applyBorder="0" applyAlignment="0" applyProtection="0"/>
    <xf numFmtId="353" fontId="4" fillId="0" borderId="0" applyFont="0" applyFill="0" applyBorder="0" applyAlignment="0" applyProtection="0"/>
    <xf numFmtId="37" fontId="59" fillId="0" borderId="118" applyNumberFormat="0"/>
    <xf numFmtId="353" fontId="220" fillId="0" borderId="55" applyNumberFormat="0" applyAlignment="0" applyProtection="0"/>
    <xf numFmtId="353" fontId="18" fillId="0" borderId="0" applyNumberFormat="0" applyFill="0" applyBorder="0" applyAlignment="0" applyProtection="0"/>
    <xf numFmtId="353" fontId="18" fillId="0" borderId="0" applyNumberFormat="0" applyFill="0" applyBorder="0" applyAlignment="0" applyProtection="0"/>
    <xf numFmtId="210" fontId="59" fillId="0" borderId="29" applyFill="0"/>
    <xf numFmtId="353" fontId="10" fillId="0" borderId="119" applyNumberFormat="0" applyFill="0" applyAlignment="0" applyProtection="0"/>
    <xf numFmtId="353" fontId="10" fillId="0" borderId="119" applyNumberFormat="0" applyFill="0" applyAlignment="0" applyProtection="0"/>
    <xf numFmtId="353" fontId="255" fillId="0" borderId="0" applyNumberFormat="0" applyFill="0" applyBorder="0" applyAlignment="0" applyProtection="0"/>
    <xf numFmtId="353" fontId="255" fillId="0" borderId="0" applyNumberFormat="0" applyFill="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27">
      <alignment vertical="center"/>
    </xf>
    <xf numFmtId="171" fontId="2" fillId="101" borderId="27">
      <alignment vertical="center"/>
    </xf>
    <xf numFmtId="330" fontId="2" fillId="101" borderId="27">
      <alignment vertical="center"/>
    </xf>
    <xf numFmtId="330" fontId="2" fillId="43" borderId="27">
      <alignment vertical="center"/>
    </xf>
    <xf numFmtId="330" fontId="2" fillId="44" borderId="27">
      <alignment horizontal="right" vertical="center"/>
      <protection locked="0"/>
    </xf>
    <xf numFmtId="0" fontId="7" fillId="0" borderId="0"/>
    <xf numFmtId="0" fontId="7" fillId="0" borderId="0"/>
    <xf numFmtId="0" fontId="7" fillId="0" borderId="0"/>
    <xf numFmtId="0" fontId="7" fillId="0" borderId="0"/>
    <xf numFmtId="0" fontId="7" fillId="0" borderId="0"/>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353" fontId="48" fillId="33" borderId="50" applyNumberFormat="0">
      <protection locked="0"/>
    </xf>
    <xf numFmtId="210" fontId="59" fillId="0" borderId="29" applyFill="0"/>
    <xf numFmtId="0" fontId="7" fillId="0" borderId="0"/>
    <xf numFmtId="0" fontId="7" fillId="0" borderId="0"/>
    <xf numFmtId="164" fontId="2" fillId="0" borderId="0" applyFont="0" applyFill="0" applyBorder="0" applyAlignment="0" applyProtection="0"/>
    <xf numFmtId="0" fontId="7" fillId="0" borderId="0"/>
    <xf numFmtId="353" fontId="48" fillId="30" borderId="115" applyNumberFormat="0" applyProtection="0">
      <alignment horizontal="left" vertical="top" indent="1"/>
    </xf>
    <xf numFmtId="353" fontId="48" fillId="30" borderId="110" applyNumberFormat="0" applyProtection="0">
      <alignment horizontal="left" vertical="center"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center" indent="1"/>
    </xf>
    <xf numFmtId="353" fontId="48" fillId="32" borderId="110" applyNumberFormat="0" applyProtection="0">
      <alignment horizontal="left" vertical="center"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center" indent="1"/>
    </xf>
    <xf numFmtId="353" fontId="48" fillId="83" borderId="110"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353" fontId="48" fillId="61" borderId="110" applyNumberFormat="0" applyProtection="0">
      <alignment horizontal="left" vertical="center" indent="1"/>
    </xf>
    <xf numFmtId="4" fontId="48" fillId="19" borderId="116" applyNumberFormat="0" applyProtection="0">
      <alignment horizontal="left" vertical="center" indent="1"/>
    </xf>
    <xf numFmtId="4" fontId="48" fillId="30" borderId="116" applyNumberFormat="0" applyProtection="0">
      <alignment horizontal="left" vertical="center" indent="1"/>
    </xf>
    <xf numFmtId="4" fontId="48" fillId="19" borderId="110" applyNumberFormat="0" applyProtection="0">
      <alignment horizontal="right" vertical="center"/>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29" borderId="116" applyNumberFormat="0" applyProtection="0">
      <alignment horizontal="left" vertical="center" indent="1"/>
    </xf>
    <xf numFmtId="4" fontId="48" fillId="28" borderId="110" applyNumberFormat="0" applyProtection="0">
      <alignment horizontal="right" vertical="center"/>
    </xf>
    <xf numFmtId="4" fontId="48" fillId="27" borderId="110" applyNumberFormat="0" applyProtection="0">
      <alignment horizontal="right" vertical="center"/>
    </xf>
    <xf numFmtId="4" fontId="48" fillId="26" borderId="110" applyNumberFormat="0" applyProtection="0">
      <alignment horizontal="right" vertical="center"/>
    </xf>
    <xf numFmtId="4" fontId="48" fillId="25" borderId="110" applyNumberFormat="0" applyProtection="0">
      <alignment horizontal="right" vertical="center"/>
    </xf>
    <xf numFmtId="4" fontId="48" fillId="24" borderId="110" applyNumberFormat="0" applyProtection="0">
      <alignment horizontal="right" vertical="center"/>
    </xf>
    <xf numFmtId="4" fontId="48" fillId="23" borderId="110" applyNumberFormat="0" applyProtection="0">
      <alignment horizontal="right" vertical="center"/>
    </xf>
    <xf numFmtId="4" fontId="48" fillId="22" borderId="116"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353" fontId="251" fillId="18" borderId="115" applyNumberFormat="0" applyProtection="0">
      <alignment horizontal="left" vertical="top"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353" fontId="179" fillId="128" borderId="114" applyNumberFormat="0" applyAlignment="0" applyProtection="0"/>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248" fillId="128" borderId="110" applyNumberFormat="0" applyAlignment="0" applyProtection="0"/>
    <xf numFmtId="353" fontId="248" fillId="128"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23" fillId="0" borderId="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79" fillId="128" borderId="114" applyNumberFormat="0" applyAlignment="0" applyProtection="0"/>
    <xf numFmtId="353" fontId="179" fillId="128" borderId="114" applyNumberFormat="0" applyAlignment="0" applyProtection="0"/>
    <xf numFmtId="4" fontId="48" fillId="18" borderId="110" applyNumberFormat="0" applyProtection="0">
      <alignment vertical="center"/>
    </xf>
    <xf numFmtId="4" fontId="250" fillId="45" borderId="110" applyNumberFormat="0" applyProtection="0">
      <alignment vertical="center"/>
    </xf>
    <xf numFmtId="4" fontId="48" fillId="45" borderId="110" applyNumberFormat="0" applyProtection="0">
      <alignment horizontal="left" vertical="center" indent="1"/>
    </xf>
    <xf numFmtId="4" fontId="48" fillId="64" borderId="110" applyNumberFormat="0" applyProtection="0">
      <alignment horizontal="left" vertical="center" indent="1"/>
    </xf>
    <xf numFmtId="4" fontId="48" fillId="20" borderId="110" applyNumberFormat="0" applyProtection="0">
      <alignment horizontal="right" vertical="center"/>
    </xf>
    <xf numFmtId="4" fontId="48" fillId="131" borderId="110" applyNumberFormat="0" applyProtection="0">
      <alignment horizontal="right" vertical="center"/>
    </xf>
    <xf numFmtId="4" fontId="48" fillId="25" borderId="110" applyNumberFormat="0" applyProtection="0">
      <alignment horizontal="right" vertical="center"/>
    </xf>
    <xf numFmtId="4" fontId="48" fillId="27" borderId="110" applyNumberFormat="0" applyProtection="0">
      <alignment horizontal="right" vertical="center"/>
    </xf>
    <xf numFmtId="4" fontId="48" fillId="28" borderId="110" applyNumberFormat="0" applyProtection="0">
      <alignment horizontal="right" vertical="center"/>
    </xf>
    <xf numFmtId="4" fontId="48" fillId="19" borderId="110" applyNumberFormat="0" applyProtection="0">
      <alignment horizontal="right" vertical="center"/>
    </xf>
    <xf numFmtId="353" fontId="48" fillId="61" borderId="110" applyNumberFormat="0" applyProtection="0">
      <alignment horizontal="left" vertical="center" indent="1"/>
    </xf>
    <xf numFmtId="4" fontId="48" fillId="18" borderId="110" applyNumberFormat="0" applyProtection="0">
      <alignment vertical="center"/>
    </xf>
    <xf numFmtId="4" fontId="250" fillId="45" borderId="110" applyNumberFormat="0" applyProtection="0">
      <alignment vertical="center"/>
    </xf>
    <xf numFmtId="4" fontId="48" fillId="45" borderId="110" applyNumberFormat="0" applyProtection="0">
      <alignment horizontal="left" vertical="center" indent="1"/>
    </xf>
    <xf numFmtId="353" fontId="251" fillId="18" borderId="115" applyNumberFormat="0" applyProtection="0">
      <alignment horizontal="left" vertical="top" indent="1"/>
    </xf>
    <xf numFmtId="4" fontId="48" fillId="64" borderId="110" applyNumberFormat="0" applyProtection="0">
      <alignment horizontal="left" vertical="center" indent="1"/>
    </xf>
    <xf numFmtId="4" fontId="48" fillId="20" borderId="110" applyNumberFormat="0" applyProtection="0">
      <alignment horizontal="right" vertical="center"/>
    </xf>
    <xf numFmtId="4" fontId="48" fillId="131" borderId="110" applyNumberFormat="0" applyProtection="0">
      <alignment horizontal="right" vertical="center"/>
    </xf>
    <xf numFmtId="4" fontId="48" fillId="22" borderId="116" applyNumberFormat="0" applyProtection="0">
      <alignment horizontal="right" vertical="center"/>
    </xf>
    <xf numFmtId="4" fontId="48" fillId="23" borderId="110" applyNumberFormat="0" applyProtection="0">
      <alignment horizontal="right" vertical="center"/>
    </xf>
    <xf numFmtId="4" fontId="48" fillId="24" borderId="110" applyNumberFormat="0" applyProtection="0">
      <alignment horizontal="right" vertical="center"/>
    </xf>
    <xf numFmtId="4" fontId="48" fillId="25" borderId="110" applyNumberFormat="0" applyProtection="0">
      <alignment horizontal="right" vertical="center"/>
    </xf>
    <xf numFmtId="4" fontId="48" fillId="26" borderId="110" applyNumberFormat="0" applyProtection="0">
      <alignment horizontal="right" vertical="center"/>
    </xf>
    <xf numFmtId="4" fontId="48" fillId="27" borderId="110" applyNumberFormat="0" applyProtection="0">
      <alignment horizontal="right" vertical="center"/>
    </xf>
    <xf numFmtId="4" fontId="48" fillId="28" borderId="110" applyNumberFormat="0" applyProtection="0">
      <alignment horizontal="right" vertical="center"/>
    </xf>
    <xf numFmtId="4" fontId="48" fillId="29" borderId="116" applyNumberFormat="0" applyProtection="0">
      <alignment horizontal="left" vertical="center" indent="1"/>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19" borderId="110" applyNumberFormat="0" applyProtection="0">
      <alignment horizontal="right" vertical="center"/>
    </xf>
    <xf numFmtId="4" fontId="48" fillId="30" borderId="116" applyNumberFormat="0" applyProtection="0">
      <alignment horizontal="left" vertical="center" indent="1"/>
    </xf>
    <xf numFmtId="4" fontId="48" fillId="19" borderId="116" applyNumberFormat="0" applyProtection="0">
      <alignment horizontal="left" vertical="center" indent="1"/>
    </xf>
    <xf numFmtId="353" fontId="48" fillId="61" borderId="110" applyNumberFormat="0" applyProtection="0">
      <alignment horizontal="left" vertical="center" indent="1"/>
    </xf>
    <xf numFmtId="353" fontId="4" fillId="31" borderId="115" applyNumberFormat="0" applyProtection="0">
      <alignment horizontal="left" vertical="center"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83" borderId="110" applyNumberFormat="0" applyProtection="0">
      <alignment horizontal="left" vertical="center" indent="1"/>
    </xf>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0" applyNumberFormat="0" applyProtection="0">
      <alignment horizontal="left" vertical="center"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4" fillId="30" borderId="115" applyNumberFormat="0" applyProtection="0">
      <alignment horizontal="left" vertical="center"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2" borderId="110" applyNumberFormat="0" applyProtection="0">
      <alignment horizontal="left" vertical="center" indent="1"/>
    </xf>
    <xf numFmtId="353" fontId="88" fillId="31" borderId="117" applyBorder="0"/>
    <xf numFmtId="4" fontId="252" fillId="34" borderId="115" applyNumberFormat="0" applyProtection="0">
      <alignment vertical="center"/>
    </xf>
    <xf numFmtId="4" fontId="252" fillId="61" borderId="115" applyNumberFormat="0" applyProtection="0">
      <alignment horizontal="left" vertical="center" indent="1"/>
    </xf>
    <xf numFmtId="353" fontId="252" fillId="34" borderId="115" applyNumberFormat="0" applyProtection="0">
      <alignment horizontal="left" vertical="top" indent="1"/>
    </xf>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353" fontId="252" fillId="19" borderId="115" applyNumberFormat="0" applyProtection="0">
      <alignment horizontal="left" vertical="top" indent="1"/>
    </xf>
    <xf numFmtId="4" fontId="253" fillId="35" borderId="116" applyNumberFormat="0" applyProtection="0">
      <alignment horizontal="left" vertical="center" indent="1"/>
    </xf>
    <xf numFmtId="4" fontId="254" fillId="33" borderId="110" applyNumberFormat="0" applyProtection="0">
      <alignment horizontal="right" vertical="center"/>
    </xf>
    <xf numFmtId="37" fontId="59" fillId="0" borderId="118" applyNumberFormat="0"/>
    <xf numFmtId="353" fontId="10" fillId="0" borderId="119" applyNumberFormat="0" applyFill="0" applyAlignment="0" applyProtection="0"/>
    <xf numFmtId="353" fontId="10" fillId="0" borderId="119" applyNumberFormat="0" applyFill="0" applyAlignment="0" applyProtection="0"/>
    <xf numFmtId="353" fontId="4" fillId="30" borderId="115" applyNumberFormat="0" applyProtection="0">
      <alignment horizontal="left" vertical="center"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248" fillId="128" borderId="110" applyNumberFormat="0" applyAlignment="0" applyProtection="0"/>
    <xf numFmtId="353" fontId="248" fillId="128" borderId="110" applyNumberFormat="0" applyAlignment="0" applyProtection="0"/>
    <xf numFmtId="4" fontId="48" fillId="23" borderId="110" applyNumberFormat="0" applyProtection="0">
      <alignment horizontal="right" vertical="center"/>
    </xf>
    <xf numFmtId="4" fontId="48" fillId="24" borderId="110" applyNumberFormat="0" applyProtection="0">
      <alignment horizontal="right" vertical="center"/>
    </xf>
    <xf numFmtId="353" fontId="48" fillId="83" borderId="110" applyNumberFormat="0" applyProtection="0">
      <alignment horizontal="left" vertical="center" indent="1"/>
    </xf>
    <xf numFmtId="210" fontId="59" fillId="0" borderId="29" applyFill="0"/>
    <xf numFmtId="4" fontId="48" fillId="26" borderId="110" applyNumberFormat="0" applyProtection="0">
      <alignment horizontal="right" vertical="center"/>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88" fillId="31" borderId="117" applyBorder="0"/>
    <xf numFmtId="4" fontId="252" fillId="34" borderId="115" applyNumberFormat="0" applyProtection="0">
      <alignment vertical="center"/>
    </xf>
    <xf numFmtId="4" fontId="252" fillId="61" borderId="115" applyNumberFormat="0" applyProtection="0">
      <alignment horizontal="left" vertical="center" indent="1"/>
    </xf>
    <xf numFmtId="353" fontId="252" fillId="34" borderId="115" applyNumberFormat="0" applyProtection="0">
      <alignment horizontal="left" vertical="top" indent="1"/>
    </xf>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353" fontId="252" fillId="19" borderId="115" applyNumberFormat="0" applyProtection="0">
      <alignment horizontal="left" vertical="top" indent="1"/>
    </xf>
    <xf numFmtId="4" fontId="253" fillId="35" borderId="116" applyNumberFormat="0" applyProtection="0">
      <alignment horizontal="left" vertical="center" indent="1"/>
    </xf>
    <xf numFmtId="4" fontId="254" fillId="33" borderId="110" applyNumberFormat="0" applyProtection="0">
      <alignment horizontal="right" vertical="center"/>
    </xf>
    <xf numFmtId="37" fontId="59" fillId="0" borderId="118" applyNumberFormat="0"/>
    <xf numFmtId="353" fontId="10" fillId="0" borderId="119" applyNumberFormat="0" applyFill="0" applyAlignment="0" applyProtection="0"/>
    <xf numFmtId="353" fontId="10" fillId="0" borderId="119" applyNumberFormat="0" applyFill="0" applyAlignment="0" applyProtection="0"/>
    <xf numFmtId="353" fontId="48" fillId="30" borderId="110" applyNumberFormat="0" applyProtection="0">
      <alignment horizontal="left" vertical="center" indent="1"/>
    </xf>
    <xf numFmtId="353" fontId="248" fillId="128" borderId="110" applyNumberFormat="0" applyAlignment="0" applyProtection="0"/>
    <xf numFmtId="353" fontId="248" fillId="128" borderId="110" applyNumberFormat="0" applyAlignment="0" applyProtection="0"/>
    <xf numFmtId="210" fontId="59" fillId="0" borderId="29" applyFill="0"/>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4" fontId="254" fillId="33" borderId="110" applyNumberFormat="0" applyProtection="0">
      <alignment horizontal="right" vertical="center"/>
    </xf>
    <xf numFmtId="353" fontId="248" fillId="128" borderId="110" applyNumberFormat="0" applyAlignment="0" applyProtection="0"/>
    <xf numFmtId="353" fontId="248" fillId="128"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23" fillId="0" borderId="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79" fillId="128" borderId="114" applyNumberFormat="0" applyAlignment="0" applyProtection="0"/>
    <xf numFmtId="353" fontId="179" fillId="128" borderId="114" applyNumberFormat="0" applyAlignment="0" applyProtection="0"/>
    <xf numFmtId="4" fontId="48" fillId="18" borderId="110" applyNumberFormat="0" applyProtection="0">
      <alignment vertical="center"/>
    </xf>
    <xf numFmtId="4" fontId="250" fillId="45" borderId="110" applyNumberFormat="0" applyProtection="0">
      <alignment vertical="center"/>
    </xf>
    <xf numFmtId="4" fontId="48" fillId="45" borderId="110" applyNumberFormat="0" applyProtection="0">
      <alignment horizontal="left" vertical="center" indent="1"/>
    </xf>
    <xf numFmtId="353" fontId="251" fillId="18" borderId="115" applyNumberFormat="0" applyProtection="0">
      <alignment horizontal="left" vertical="top" indent="1"/>
    </xf>
    <xf numFmtId="4" fontId="48" fillId="64" borderId="110" applyNumberFormat="0" applyProtection="0">
      <alignment horizontal="left" vertical="center" indent="1"/>
    </xf>
    <xf numFmtId="4" fontId="48" fillId="20" borderId="110" applyNumberFormat="0" applyProtection="0">
      <alignment horizontal="right" vertical="center"/>
    </xf>
    <xf numFmtId="4" fontId="48" fillId="131" borderId="110" applyNumberFormat="0" applyProtection="0">
      <alignment horizontal="right" vertical="center"/>
    </xf>
    <xf numFmtId="4" fontId="48" fillId="22" borderId="116" applyNumberFormat="0" applyProtection="0">
      <alignment horizontal="right" vertical="center"/>
    </xf>
    <xf numFmtId="4" fontId="48" fillId="23" borderId="110" applyNumberFormat="0" applyProtection="0">
      <alignment horizontal="right" vertical="center"/>
    </xf>
    <xf numFmtId="4" fontId="48" fillId="24" borderId="110" applyNumberFormat="0" applyProtection="0">
      <alignment horizontal="right" vertical="center"/>
    </xf>
    <xf numFmtId="4" fontId="48" fillId="25" borderId="110" applyNumberFormat="0" applyProtection="0">
      <alignment horizontal="right" vertical="center"/>
    </xf>
    <xf numFmtId="4" fontId="48" fillId="26" borderId="110" applyNumberFormat="0" applyProtection="0">
      <alignment horizontal="right" vertical="center"/>
    </xf>
    <xf numFmtId="4" fontId="48" fillId="27" borderId="110" applyNumberFormat="0" applyProtection="0">
      <alignment horizontal="right" vertical="center"/>
    </xf>
    <xf numFmtId="4" fontId="48" fillId="28" borderId="110" applyNumberFormat="0" applyProtection="0">
      <alignment horizontal="right" vertical="center"/>
    </xf>
    <xf numFmtId="4" fontId="48" fillId="29" borderId="116" applyNumberFormat="0" applyProtection="0">
      <alignment horizontal="left" vertical="center" indent="1"/>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19" borderId="110" applyNumberFormat="0" applyProtection="0">
      <alignment horizontal="right" vertical="center"/>
    </xf>
    <xf numFmtId="4" fontId="48" fillId="30" borderId="116" applyNumberFormat="0" applyProtection="0">
      <alignment horizontal="left" vertical="center" indent="1"/>
    </xf>
    <xf numFmtId="4" fontId="48" fillId="19" borderId="116" applyNumberFormat="0" applyProtection="0">
      <alignment horizontal="left" vertical="center" indent="1"/>
    </xf>
    <xf numFmtId="353" fontId="48" fillId="61" borderId="110" applyNumberFormat="0" applyProtection="0">
      <alignment horizontal="left" vertical="center" indent="1"/>
    </xf>
    <xf numFmtId="353" fontId="4" fillId="31" borderId="115" applyNumberFormat="0" applyProtection="0">
      <alignment horizontal="left" vertical="center"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83" borderId="110" applyNumberFormat="0" applyProtection="0">
      <alignment horizontal="left" vertical="center" indent="1"/>
    </xf>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0" applyNumberFormat="0" applyProtection="0">
      <alignment horizontal="left" vertical="center"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4" fillId="30" borderId="115" applyNumberFormat="0" applyProtection="0">
      <alignment horizontal="left" vertical="center"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88" fillId="31" borderId="117" applyBorder="0"/>
    <xf numFmtId="4" fontId="252" fillId="34" borderId="115" applyNumberFormat="0" applyProtection="0">
      <alignment vertical="center"/>
    </xf>
    <xf numFmtId="4" fontId="252" fillId="61" borderId="115" applyNumberFormat="0" applyProtection="0">
      <alignment horizontal="left" vertical="center" indent="1"/>
    </xf>
    <xf numFmtId="353" fontId="252" fillId="34" borderId="115" applyNumberFormat="0" applyProtection="0">
      <alignment horizontal="left" vertical="top" indent="1"/>
    </xf>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353" fontId="252" fillId="19" borderId="115" applyNumberFormat="0" applyProtection="0">
      <alignment horizontal="left" vertical="top" indent="1"/>
    </xf>
    <xf numFmtId="4" fontId="253" fillId="35" borderId="116" applyNumberFormat="0" applyProtection="0">
      <alignment horizontal="left" vertical="center" indent="1"/>
    </xf>
    <xf numFmtId="4" fontId="254" fillId="33" borderId="110" applyNumberFormat="0" applyProtection="0">
      <alignment horizontal="right" vertical="center"/>
    </xf>
    <xf numFmtId="37" fontId="59" fillId="0" borderId="118" applyNumberFormat="0"/>
    <xf numFmtId="353" fontId="10" fillId="0" borderId="119" applyNumberFormat="0" applyFill="0" applyAlignment="0" applyProtection="0"/>
    <xf numFmtId="353" fontId="10" fillId="0" borderId="119" applyNumberFormat="0" applyFill="0" applyAlignment="0" applyProtection="0"/>
    <xf numFmtId="210" fontId="59" fillId="0" borderId="29" applyFill="0"/>
    <xf numFmtId="353" fontId="23" fillId="0" borderId="0"/>
    <xf numFmtId="353" fontId="48" fillId="30" borderId="115" applyNumberFormat="0" applyProtection="0">
      <alignment horizontal="left" vertical="top" indent="1"/>
    </xf>
    <xf numFmtId="353" fontId="48" fillId="30" borderId="110" applyNumberFormat="0" applyProtection="0">
      <alignment horizontal="left" vertical="center"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center" indent="1"/>
    </xf>
    <xf numFmtId="353" fontId="48" fillId="32" borderId="110" applyNumberFormat="0" applyProtection="0">
      <alignment horizontal="left" vertical="center"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center" indent="1"/>
    </xf>
    <xf numFmtId="353" fontId="48" fillId="83" borderId="110"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353" fontId="48" fillId="61" borderId="110" applyNumberFormat="0" applyProtection="0">
      <alignment horizontal="left" vertical="center" indent="1"/>
    </xf>
    <xf numFmtId="4" fontId="48" fillId="19" borderId="116" applyNumberFormat="0" applyProtection="0">
      <alignment horizontal="left" vertical="center" indent="1"/>
    </xf>
    <xf numFmtId="4" fontId="48" fillId="30" borderId="116" applyNumberFormat="0" applyProtection="0">
      <alignment horizontal="left" vertical="center" indent="1"/>
    </xf>
    <xf numFmtId="4" fontId="48" fillId="19" borderId="110" applyNumberFormat="0" applyProtection="0">
      <alignment horizontal="right" vertical="center"/>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29" borderId="116" applyNumberFormat="0" applyProtection="0">
      <alignment horizontal="left" vertical="center" indent="1"/>
    </xf>
    <xf numFmtId="4" fontId="48" fillId="28" borderId="110" applyNumberFormat="0" applyProtection="0">
      <alignment horizontal="right" vertical="center"/>
    </xf>
    <xf numFmtId="4" fontId="48" fillId="27" borderId="110" applyNumberFormat="0" applyProtection="0">
      <alignment horizontal="right" vertical="center"/>
    </xf>
    <xf numFmtId="4" fontId="48" fillId="26" borderId="110" applyNumberFormat="0" applyProtection="0">
      <alignment horizontal="right" vertical="center"/>
    </xf>
    <xf numFmtId="4" fontId="48" fillId="25" borderId="110" applyNumberFormat="0" applyProtection="0">
      <alignment horizontal="right" vertical="center"/>
    </xf>
    <xf numFmtId="4" fontId="48" fillId="24" borderId="110" applyNumberFormat="0" applyProtection="0">
      <alignment horizontal="right" vertical="center"/>
    </xf>
    <xf numFmtId="4" fontId="48" fillId="23" borderId="110" applyNumberFormat="0" applyProtection="0">
      <alignment horizontal="right" vertical="center"/>
    </xf>
    <xf numFmtId="4" fontId="48" fillId="22" borderId="116"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353" fontId="251" fillId="18" borderId="115" applyNumberFormat="0" applyProtection="0">
      <alignment horizontal="left" vertical="top"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353" fontId="179" fillId="128" borderId="114" applyNumberFormat="0" applyAlignment="0" applyProtection="0"/>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248" fillId="128" borderId="110" applyNumberFormat="0" applyAlignment="0" applyProtection="0"/>
    <xf numFmtId="353" fontId="248" fillId="128"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23" fillId="0" borderId="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79" fillId="128" borderId="114" applyNumberFormat="0" applyAlignment="0" applyProtection="0"/>
    <xf numFmtId="353" fontId="179" fillId="128" borderId="114" applyNumberFormat="0" applyAlignment="0" applyProtection="0"/>
    <xf numFmtId="4" fontId="48" fillId="18" borderId="110" applyNumberFormat="0" applyProtection="0">
      <alignment vertical="center"/>
    </xf>
    <xf numFmtId="4" fontId="250" fillId="45" borderId="110" applyNumberFormat="0" applyProtection="0">
      <alignment vertical="center"/>
    </xf>
    <xf numFmtId="4" fontId="48" fillId="45" borderId="110" applyNumberFormat="0" applyProtection="0">
      <alignment horizontal="left" vertical="center" indent="1"/>
    </xf>
    <xf numFmtId="4" fontId="48" fillId="64" borderId="110" applyNumberFormat="0" applyProtection="0">
      <alignment horizontal="left" vertical="center" indent="1"/>
    </xf>
    <xf numFmtId="4" fontId="48" fillId="20" borderId="110" applyNumberFormat="0" applyProtection="0">
      <alignment horizontal="right" vertical="center"/>
    </xf>
    <xf numFmtId="4" fontId="48" fillId="131" borderId="110" applyNumberFormat="0" applyProtection="0">
      <alignment horizontal="right" vertical="center"/>
    </xf>
    <xf numFmtId="4" fontId="48" fillId="25" borderId="110" applyNumberFormat="0" applyProtection="0">
      <alignment horizontal="right" vertical="center"/>
    </xf>
    <xf numFmtId="4" fontId="48" fillId="27" borderId="110" applyNumberFormat="0" applyProtection="0">
      <alignment horizontal="right" vertical="center"/>
    </xf>
    <xf numFmtId="4" fontId="48" fillId="28" borderId="110" applyNumberFormat="0" applyProtection="0">
      <alignment horizontal="right" vertical="center"/>
    </xf>
    <xf numFmtId="4" fontId="48" fillId="19" borderId="110" applyNumberFormat="0" applyProtection="0">
      <alignment horizontal="right" vertical="center"/>
    </xf>
    <xf numFmtId="353" fontId="48" fillId="61" borderId="110" applyNumberFormat="0" applyProtection="0">
      <alignment horizontal="left" vertical="center" indent="1"/>
    </xf>
    <xf numFmtId="4" fontId="48" fillId="18" borderId="110" applyNumberFormat="0" applyProtection="0">
      <alignment vertical="center"/>
    </xf>
    <xf numFmtId="4" fontId="250" fillId="45" borderId="110" applyNumberFormat="0" applyProtection="0">
      <alignment vertical="center"/>
    </xf>
    <xf numFmtId="4" fontId="48" fillId="45" borderId="110" applyNumberFormat="0" applyProtection="0">
      <alignment horizontal="left" vertical="center" indent="1"/>
    </xf>
    <xf numFmtId="353" fontId="251" fillId="18" borderId="115" applyNumberFormat="0" applyProtection="0">
      <alignment horizontal="left" vertical="top" indent="1"/>
    </xf>
    <xf numFmtId="4" fontId="48" fillId="64" borderId="110" applyNumberFormat="0" applyProtection="0">
      <alignment horizontal="left" vertical="center" indent="1"/>
    </xf>
    <xf numFmtId="4" fontId="48" fillId="20" borderId="110" applyNumberFormat="0" applyProtection="0">
      <alignment horizontal="right" vertical="center"/>
    </xf>
    <xf numFmtId="4" fontId="48" fillId="131" borderId="110" applyNumberFormat="0" applyProtection="0">
      <alignment horizontal="right" vertical="center"/>
    </xf>
    <xf numFmtId="4" fontId="48" fillId="22" borderId="116" applyNumberFormat="0" applyProtection="0">
      <alignment horizontal="right" vertical="center"/>
    </xf>
    <xf numFmtId="4" fontId="48" fillId="23" borderId="110" applyNumberFormat="0" applyProtection="0">
      <alignment horizontal="right" vertical="center"/>
    </xf>
    <xf numFmtId="4" fontId="48" fillId="24" borderId="110" applyNumberFormat="0" applyProtection="0">
      <alignment horizontal="right" vertical="center"/>
    </xf>
    <xf numFmtId="4" fontId="48" fillId="25" borderId="110" applyNumberFormat="0" applyProtection="0">
      <alignment horizontal="right" vertical="center"/>
    </xf>
    <xf numFmtId="4" fontId="48" fillId="26" borderId="110" applyNumberFormat="0" applyProtection="0">
      <alignment horizontal="right" vertical="center"/>
    </xf>
    <xf numFmtId="4" fontId="48" fillId="27" borderId="110" applyNumberFormat="0" applyProtection="0">
      <alignment horizontal="right" vertical="center"/>
    </xf>
    <xf numFmtId="4" fontId="48" fillId="28" borderId="110" applyNumberFormat="0" applyProtection="0">
      <alignment horizontal="right" vertical="center"/>
    </xf>
    <xf numFmtId="4" fontId="48" fillId="29" borderId="116" applyNumberFormat="0" applyProtection="0">
      <alignment horizontal="left" vertical="center" indent="1"/>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19" borderId="110" applyNumberFormat="0" applyProtection="0">
      <alignment horizontal="right" vertical="center"/>
    </xf>
    <xf numFmtId="4" fontId="48" fillId="30" borderId="116" applyNumberFormat="0" applyProtection="0">
      <alignment horizontal="left" vertical="center" indent="1"/>
    </xf>
    <xf numFmtId="4" fontId="48" fillId="19" borderId="116" applyNumberFormat="0" applyProtection="0">
      <alignment horizontal="left" vertical="center" indent="1"/>
    </xf>
    <xf numFmtId="353" fontId="48" fillId="61" borderId="110" applyNumberFormat="0" applyProtection="0">
      <alignment horizontal="left" vertical="center" indent="1"/>
    </xf>
    <xf numFmtId="353" fontId="4" fillId="31" borderId="115" applyNumberFormat="0" applyProtection="0">
      <alignment horizontal="left" vertical="center"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83" borderId="110" applyNumberFormat="0" applyProtection="0">
      <alignment horizontal="left" vertical="center" indent="1"/>
    </xf>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0" applyNumberFormat="0" applyProtection="0">
      <alignment horizontal="left" vertical="center"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4" fillId="30" borderId="115" applyNumberFormat="0" applyProtection="0">
      <alignment horizontal="left" vertical="center"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2" borderId="110" applyNumberFormat="0" applyProtection="0">
      <alignment horizontal="left" vertical="center" indent="1"/>
    </xf>
    <xf numFmtId="353" fontId="88" fillId="31" borderId="117" applyBorder="0"/>
    <xf numFmtId="4" fontId="252" fillId="34" borderId="115" applyNumberFormat="0" applyProtection="0">
      <alignment vertical="center"/>
    </xf>
    <xf numFmtId="4" fontId="252" fillId="61" borderId="115" applyNumberFormat="0" applyProtection="0">
      <alignment horizontal="left" vertical="center" indent="1"/>
    </xf>
    <xf numFmtId="353" fontId="252" fillId="34" borderId="115" applyNumberFormat="0" applyProtection="0">
      <alignment horizontal="left" vertical="top" indent="1"/>
    </xf>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353" fontId="252" fillId="19" borderId="115" applyNumberFormat="0" applyProtection="0">
      <alignment horizontal="left" vertical="top" indent="1"/>
    </xf>
    <xf numFmtId="4" fontId="253" fillId="35" borderId="116" applyNumberFormat="0" applyProtection="0">
      <alignment horizontal="left" vertical="center" indent="1"/>
    </xf>
    <xf numFmtId="4" fontId="254" fillId="33" borderId="110" applyNumberFormat="0" applyProtection="0">
      <alignment horizontal="right" vertical="center"/>
    </xf>
    <xf numFmtId="37" fontId="59" fillId="0" borderId="118" applyNumberFormat="0"/>
    <xf numFmtId="353" fontId="10" fillId="0" borderId="119" applyNumberFormat="0" applyFill="0" applyAlignment="0" applyProtection="0"/>
    <xf numFmtId="353" fontId="10" fillId="0" borderId="119" applyNumberFormat="0" applyFill="0" applyAlignment="0" applyProtection="0"/>
    <xf numFmtId="353" fontId="4" fillId="30" borderId="115" applyNumberFormat="0" applyProtection="0">
      <alignment horizontal="left" vertical="center"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248" fillId="128" borderId="110" applyNumberFormat="0" applyAlignment="0" applyProtection="0"/>
    <xf numFmtId="353" fontId="248" fillId="128" borderId="110" applyNumberFormat="0" applyAlignment="0" applyProtection="0"/>
    <xf numFmtId="4" fontId="48" fillId="23" borderId="110" applyNumberFormat="0" applyProtection="0">
      <alignment horizontal="right" vertical="center"/>
    </xf>
    <xf numFmtId="4" fontId="48" fillId="24" borderId="110" applyNumberFormat="0" applyProtection="0">
      <alignment horizontal="right" vertical="center"/>
    </xf>
    <xf numFmtId="353" fontId="48" fillId="83" borderId="110" applyNumberFormat="0" applyProtection="0">
      <alignment horizontal="left" vertical="center" indent="1"/>
    </xf>
    <xf numFmtId="210" fontId="59" fillId="0" borderId="29" applyFill="0"/>
    <xf numFmtId="4" fontId="48" fillId="26" borderId="110" applyNumberFormat="0" applyProtection="0">
      <alignment horizontal="right" vertical="center"/>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88" fillId="31" borderId="117" applyBorder="0"/>
    <xf numFmtId="4" fontId="252" fillId="34" borderId="115" applyNumberFormat="0" applyProtection="0">
      <alignment vertical="center"/>
    </xf>
    <xf numFmtId="4" fontId="252" fillId="61" borderId="115" applyNumberFormat="0" applyProtection="0">
      <alignment horizontal="left" vertical="center" indent="1"/>
    </xf>
    <xf numFmtId="353" fontId="252" fillId="34" borderId="115" applyNumberFormat="0" applyProtection="0">
      <alignment horizontal="left" vertical="top" indent="1"/>
    </xf>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353" fontId="252" fillId="19" borderId="115" applyNumberFormat="0" applyProtection="0">
      <alignment horizontal="left" vertical="top" indent="1"/>
    </xf>
    <xf numFmtId="4" fontId="253" fillId="35" borderId="116" applyNumberFormat="0" applyProtection="0">
      <alignment horizontal="left" vertical="center" indent="1"/>
    </xf>
    <xf numFmtId="4" fontId="254" fillId="33" borderId="110" applyNumberFormat="0" applyProtection="0">
      <alignment horizontal="right" vertical="center"/>
    </xf>
    <xf numFmtId="37" fontId="59" fillId="0" borderId="118" applyNumberFormat="0"/>
    <xf numFmtId="353" fontId="10" fillId="0" borderId="119" applyNumberFormat="0" applyFill="0" applyAlignment="0" applyProtection="0"/>
    <xf numFmtId="353" fontId="10" fillId="0" borderId="119" applyNumberFormat="0" applyFill="0" applyAlignment="0" applyProtection="0"/>
    <xf numFmtId="353" fontId="48" fillId="30" borderId="110" applyNumberFormat="0" applyProtection="0">
      <alignment horizontal="left" vertical="center" indent="1"/>
    </xf>
    <xf numFmtId="353" fontId="248" fillId="128" borderId="110" applyNumberFormat="0" applyAlignment="0" applyProtection="0"/>
    <xf numFmtId="353" fontId="248" fillId="128" borderId="110" applyNumberFormat="0" applyAlignment="0" applyProtection="0"/>
    <xf numFmtId="210" fontId="59" fillId="0" borderId="29" applyFill="0"/>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4" fontId="254" fillId="33" borderId="110" applyNumberFormat="0" applyProtection="0">
      <alignment horizontal="right" vertical="center"/>
    </xf>
    <xf numFmtId="353" fontId="48" fillId="32" borderId="115" applyNumberFormat="0" applyProtection="0">
      <alignment horizontal="left" vertical="top" indent="1"/>
    </xf>
    <xf numFmtId="4" fontId="252" fillId="61" borderId="115" applyNumberFormat="0" applyProtection="0">
      <alignment horizontal="left" vertical="center" indent="1"/>
    </xf>
    <xf numFmtId="4" fontId="252" fillId="34" borderId="115" applyNumberFormat="0" applyProtection="0">
      <alignment vertical="center"/>
    </xf>
    <xf numFmtId="353" fontId="4" fillId="32" borderId="115" applyNumberFormat="0" applyProtection="0">
      <alignment horizontal="left" vertical="top" indent="1"/>
    </xf>
    <xf numFmtId="353" fontId="48" fillId="32" borderId="110" applyNumberFormat="0" applyProtection="0">
      <alignment horizontal="left" vertical="center" indent="1"/>
    </xf>
    <xf numFmtId="353" fontId="48" fillId="31" borderId="115" applyNumberFormat="0" applyProtection="0">
      <alignment horizontal="left" vertical="top" indent="1"/>
    </xf>
    <xf numFmtId="353" fontId="48" fillId="13" borderId="110" applyNumberFormat="0" applyFont="0" applyAlignment="0" applyProtection="0"/>
    <xf numFmtId="353" fontId="48" fillId="30" borderId="115" applyNumberFormat="0" applyProtection="0">
      <alignment horizontal="left" vertical="top" indent="1"/>
    </xf>
    <xf numFmtId="353" fontId="48" fillId="19" borderId="115" applyNumberFormat="0" applyProtection="0">
      <alignment horizontal="left" vertical="top" indent="1"/>
    </xf>
    <xf numFmtId="353" fontId="248" fillId="128" borderId="110" applyNumberFormat="0" applyAlignment="0" applyProtection="0"/>
    <xf numFmtId="353" fontId="10" fillId="0" borderId="119" applyNumberFormat="0" applyFill="0" applyAlignment="0" applyProtection="0"/>
    <xf numFmtId="353" fontId="10" fillId="0" borderId="119" applyNumberFormat="0" applyFill="0" applyAlignment="0" applyProtection="0"/>
    <xf numFmtId="37" fontId="59" fillId="0" borderId="118" applyNumberFormat="0"/>
    <xf numFmtId="4" fontId="254" fillId="33" borderId="110" applyNumberFormat="0" applyProtection="0">
      <alignment horizontal="right" vertical="center"/>
    </xf>
    <xf numFmtId="4" fontId="253" fillId="35" borderId="116" applyNumberFormat="0" applyProtection="0">
      <alignment horizontal="left" vertical="center" indent="1"/>
    </xf>
    <xf numFmtId="353" fontId="252" fillId="19" borderId="115" applyNumberFormat="0" applyProtection="0">
      <alignment horizontal="left" vertical="top" indent="1"/>
    </xf>
    <xf numFmtId="4" fontId="48" fillId="64" borderId="110" applyNumberFormat="0" applyProtection="0">
      <alignment horizontal="left" vertical="center" indent="1"/>
    </xf>
    <xf numFmtId="4" fontId="250" fillId="50" borderId="110" applyNumberFormat="0" applyProtection="0">
      <alignment horizontal="right" vertical="center"/>
    </xf>
    <xf numFmtId="4" fontId="48" fillId="0" borderId="110" applyNumberFormat="0" applyProtection="0">
      <alignment horizontal="right" vertical="center"/>
    </xf>
    <xf numFmtId="353" fontId="252" fillId="34"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center"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center" indent="1"/>
    </xf>
    <xf numFmtId="353" fontId="48" fillId="83" borderId="110"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353" fontId="48" fillId="61" borderId="110" applyNumberFormat="0" applyProtection="0">
      <alignment horizontal="left" vertical="center" indent="1"/>
    </xf>
    <xf numFmtId="4" fontId="48" fillId="19" borderId="116" applyNumberFormat="0" applyProtection="0">
      <alignment horizontal="left" vertical="center" indent="1"/>
    </xf>
    <xf numFmtId="4" fontId="48" fillId="30" borderId="116" applyNumberFormat="0" applyProtection="0">
      <alignment horizontal="left" vertical="center" indent="1"/>
    </xf>
    <xf numFmtId="4" fontId="48" fillId="19" borderId="110" applyNumberFormat="0" applyProtection="0">
      <alignment horizontal="right" vertical="center"/>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29" borderId="116" applyNumberFormat="0" applyProtection="0">
      <alignment horizontal="left" vertical="center" indent="1"/>
    </xf>
    <xf numFmtId="4" fontId="48" fillId="28" borderId="110" applyNumberFormat="0" applyProtection="0">
      <alignment horizontal="right" vertical="center"/>
    </xf>
    <xf numFmtId="4" fontId="48" fillId="27" borderId="110" applyNumberFormat="0" applyProtection="0">
      <alignment horizontal="right" vertical="center"/>
    </xf>
    <xf numFmtId="4" fontId="48" fillId="26" borderId="110" applyNumberFormat="0" applyProtection="0">
      <alignment horizontal="right" vertical="center"/>
    </xf>
    <xf numFmtId="4" fontId="48" fillId="25" borderId="110" applyNumberFormat="0" applyProtection="0">
      <alignment horizontal="right" vertical="center"/>
    </xf>
    <xf numFmtId="4" fontId="48" fillId="24" borderId="110" applyNumberFormat="0" applyProtection="0">
      <alignment horizontal="right" vertical="center"/>
    </xf>
    <xf numFmtId="4" fontId="48" fillId="23" borderId="110" applyNumberFormat="0" applyProtection="0">
      <alignment horizontal="right" vertical="center"/>
    </xf>
    <xf numFmtId="4" fontId="48" fillId="22" borderId="116"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353" fontId="251" fillId="18" borderId="115" applyNumberFormat="0" applyProtection="0">
      <alignment horizontal="left" vertical="top"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353" fontId="179" fillId="128" borderId="114" applyNumberFormat="0" applyAlignment="0" applyProtection="0"/>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23" fillId="0" borderId="0"/>
    <xf numFmtId="353" fontId="137" fillId="14" borderId="110" applyNumberFormat="0" applyAlignment="0" applyProtection="0"/>
    <xf numFmtId="353" fontId="137" fillId="14" borderId="110" applyNumberFormat="0" applyAlignment="0" applyProtection="0"/>
    <xf numFmtId="353" fontId="248" fillId="128" borderId="110" applyNumberFormat="0" applyAlignment="0" applyProtection="0"/>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 fillId="19" borderId="115" applyNumberFormat="0" applyProtection="0">
      <alignment horizontal="left" vertical="top" indent="1"/>
    </xf>
    <xf numFmtId="353" fontId="48" fillId="31" borderId="115" applyNumberFormat="0" applyProtection="0">
      <alignment horizontal="left" vertical="top" indent="1"/>
    </xf>
    <xf numFmtId="353" fontId="88" fillId="31" borderId="117" applyBorder="0"/>
    <xf numFmtId="353" fontId="48" fillId="13" borderId="110" applyNumberFormat="0" applyFont="0" applyAlignment="0" applyProtection="0"/>
    <xf numFmtId="353" fontId="48" fillId="30" borderId="115" applyNumberFormat="0" applyProtection="0">
      <alignment horizontal="left" vertical="top" indent="1"/>
    </xf>
    <xf numFmtId="353" fontId="4" fillId="30" borderId="115" applyNumberFormat="0" applyProtection="0">
      <alignment horizontal="left" vertical="center"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252" fillId="19" borderId="115" applyNumberFormat="0" applyProtection="0">
      <alignment horizontal="left" vertical="top" indent="1"/>
    </xf>
    <xf numFmtId="353" fontId="48" fillId="30" borderId="110" applyNumberFormat="0" applyProtection="0">
      <alignment horizontal="left" vertical="center" indent="1"/>
    </xf>
    <xf numFmtId="210" fontId="59" fillId="0" borderId="29" applyFill="0"/>
    <xf numFmtId="353" fontId="248" fillId="128" borderId="110" applyNumberFormat="0" applyAlignment="0" applyProtection="0"/>
    <xf numFmtId="353" fontId="248" fillId="128" borderId="110" applyNumberFormat="0" applyAlignment="0" applyProtection="0"/>
    <xf numFmtId="353" fontId="48" fillId="31" borderId="115" applyNumberFormat="0" applyProtection="0">
      <alignment horizontal="left" vertical="top" indent="1"/>
    </xf>
    <xf numFmtId="353" fontId="48" fillId="30" borderId="115" applyNumberFormat="0" applyProtection="0">
      <alignment horizontal="left" vertical="top" indent="1"/>
    </xf>
    <xf numFmtId="164" fontId="2" fillId="0" borderId="0" applyFont="0" applyFill="0" applyBorder="0" applyAlignment="0" applyProtection="0"/>
    <xf numFmtId="353" fontId="48" fillId="30" borderId="115" applyNumberFormat="0" applyProtection="0">
      <alignment horizontal="left" vertical="top" indent="1"/>
    </xf>
    <xf numFmtId="164" fontId="1" fillId="0" borderId="0" applyFont="0" applyFill="0" applyBorder="0" applyAlignment="0" applyProtection="0"/>
    <xf numFmtId="353" fontId="88" fillId="31" borderId="117" applyBorder="0"/>
    <xf numFmtId="4" fontId="48" fillId="24" borderId="110" applyNumberFormat="0" applyProtection="0">
      <alignment horizontal="right" vertical="center"/>
    </xf>
    <xf numFmtId="353" fontId="48" fillId="13" borderId="110" applyNumberFormat="0" applyFont="0" applyAlignment="0" applyProtection="0"/>
    <xf numFmtId="4" fontId="48" fillId="19" borderId="116" applyNumberFormat="0" applyProtection="0">
      <alignment horizontal="left" vertical="center" indent="1"/>
    </xf>
    <xf numFmtId="4" fontId="48" fillId="25" borderId="110" applyNumberFormat="0" applyProtection="0">
      <alignment horizontal="right" vertical="center"/>
    </xf>
    <xf numFmtId="353" fontId="48" fillId="61" borderId="110" applyNumberFormat="0" applyProtection="0">
      <alignment horizontal="left" vertical="center" indent="1"/>
    </xf>
    <xf numFmtId="4" fontId="253" fillId="35" borderId="116" applyNumberFormat="0" applyProtection="0">
      <alignment horizontal="left" vertical="center" indent="1"/>
    </xf>
    <xf numFmtId="353" fontId="252" fillId="19" borderId="115" applyNumberFormat="0" applyProtection="0">
      <alignment horizontal="left" vertical="top" indent="1"/>
    </xf>
    <xf numFmtId="4" fontId="250" fillId="50" borderId="110" applyNumberFormat="0" applyProtection="0">
      <alignment horizontal="right" vertical="center"/>
    </xf>
    <xf numFmtId="4" fontId="48" fillId="0" borderId="110" applyNumberFormat="0" applyProtection="0">
      <alignment horizontal="right" vertical="center"/>
    </xf>
    <xf numFmtId="353" fontId="252" fillId="34" borderId="115" applyNumberFormat="0" applyProtection="0">
      <alignment horizontal="left" vertical="top" indent="1"/>
    </xf>
    <xf numFmtId="4" fontId="252" fillId="34" borderId="115" applyNumberFormat="0" applyProtection="0">
      <alignment vertical="center"/>
    </xf>
    <xf numFmtId="353" fontId="88" fillId="31" borderId="117" applyBorder="0"/>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210" fontId="59" fillId="0" borderId="29" applyFill="0"/>
    <xf numFmtId="353" fontId="48" fillId="83" borderId="110" applyNumberFormat="0" applyProtection="0">
      <alignment horizontal="left" vertical="center" indent="1"/>
    </xf>
    <xf numFmtId="4" fontId="48" fillId="23" borderId="110" applyNumberFormat="0" applyProtection="0">
      <alignment horizontal="right" vertical="center"/>
    </xf>
    <xf numFmtId="353" fontId="248" fillId="128" borderId="110" applyNumberFormat="0" applyAlignment="0" applyProtection="0"/>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 fillId="30" borderId="115" applyNumberFormat="0" applyProtection="0">
      <alignment horizontal="left" vertical="center" indent="1"/>
    </xf>
    <xf numFmtId="353" fontId="10" fillId="0" borderId="119" applyNumberFormat="0" applyFill="0" applyAlignment="0" applyProtection="0"/>
    <xf numFmtId="353" fontId="10" fillId="0" borderId="119" applyNumberFormat="0" applyFill="0" applyAlignment="0" applyProtection="0"/>
    <xf numFmtId="37" fontId="59" fillId="0" borderId="118" applyNumberFormat="0"/>
    <xf numFmtId="4" fontId="254" fillId="33" borderId="110" applyNumberFormat="0" applyProtection="0">
      <alignment horizontal="right" vertical="center"/>
    </xf>
    <xf numFmtId="4" fontId="253" fillId="35" borderId="116" applyNumberFormat="0" applyProtection="0">
      <alignment horizontal="left" vertical="center" indent="1"/>
    </xf>
    <xf numFmtId="353" fontId="252" fillId="19" borderId="115" applyNumberFormat="0" applyProtection="0">
      <alignment horizontal="left" vertical="top" indent="1"/>
    </xf>
    <xf numFmtId="4" fontId="48" fillId="64" borderId="110" applyNumberFormat="0" applyProtection="0">
      <alignment horizontal="left" vertical="center" indent="1"/>
    </xf>
    <xf numFmtId="4" fontId="250" fillId="50" borderId="110" applyNumberFormat="0" applyProtection="0">
      <alignment horizontal="right" vertical="center"/>
    </xf>
    <xf numFmtId="4" fontId="48" fillId="0" borderId="110" applyNumberFormat="0" applyProtection="0">
      <alignment horizontal="right" vertical="center"/>
    </xf>
    <xf numFmtId="353" fontId="252" fillId="34" borderId="115" applyNumberFormat="0" applyProtection="0">
      <alignment horizontal="left" vertical="top" indent="1"/>
    </xf>
    <xf numFmtId="4" fontId="252" fillId="61" borderId="115" applyNumberFormat="0" applyProtection="0">
      <alignment horizontal="left" vertical="center" indent="1"/>
    </xf>
    <xf numFmtId="4" fontId="252" fillId="34" borderId="115" applyNumberFormat="0" applyProtection="0">
      <alignment vertical="center"/>
    </xf>
    <xf numFmtId="353" fontId="88" fillId="31" borderId="117" applyBorder="0"/>
    <xf numFmtId="353" fontId="48" fillId="32" borderId="110" applyNumberFormat="0" applyProtection="0">
      <alignment horizontal="left" vertical="center"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center" indent="1"/>
    </xf>
    <xf numFmtId="353" fontId="48" fillId="30" borderId="110" applyNumberFormat="0" applyProtection="0">
      <alignment horizontal="left" vertical="center"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center" indent="1"/>
    </xf>
    <xf numFmtId="353" fontId="48" fillId="32" borderId="110" applyNumberFormat="0" applyProtection="0">
      <alignment horizontal="left" vertical="center"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center" indent="1"/>
    </xf>
    <xf numFmtId="353" fontId="48" fillId="83" borderId="110"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4" fontId="48" fillId="30" borderId="116" applyNumberFormat="0" applyProtection="0">
      <alignment horizontal="left" vertical="center" indent="1"/>
    </xf>
    <xf numFmtId="4" fontId="48" fillId="19" borderId="110" applyNumberFormat="0" applyProtection="0">
      <alignment horizontal="right" vertical="center"/>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29" borderId="116" applyNumberFormat="0" applyProtection="0">
      <alignment horizontal="left" vertical="center" indent="1"/>
    </xf>
    <xf numFmtId="4" fontId="48" fillId="28" borderId="110" applyNumberFormat="0" applyProtection="0">
      <alignment horizontal="right" vertical="center"/>
    </xf>
    <xf numFmtId="4" fontId="48" fillId="27" borderId="110" applyNumberFormat="0" applyProtection="0">
      <alignment horizontal="right" vertical="center"/>
    </xf>
    <xf numFmtId="4" fontId="48" fillId="26" borderId="110" applyNumberFormat="0" applyProtection="0">
      <alignment horizontal="right" vertical="center"/>
    </xf>
    <xf numFmtId="4" fontId="48" fillId="25" borderId="110" applyNumberFormat="0" applyProtection="0">
      <alignment horizontal="right" vertical="center"/>
    </xf>
    <xf numFmtId="4" fontId="48" fillId="22" borderId="116"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353" fontId="251" fillId="18" borderId="115" applyNumberFormat="0" applyProtection="0">
      <alignment horizontal="left" vertical="top"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353" fontId="179" fillId="128" borderId="114" applyNumberFormat="0" applyAlignment="0" applyProtection="0"/>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248" fillId="128" borderId="110" applyNumberFormat="0" applyAlignment="0" applyProtection="0"/>
    <xf numFmtId="353" fontId="248" fillId="128" borderId="110"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79" fillId="128" borderId="114" applyNumberFormat="0" applyAlignment="0" applyProtection="0"/>
    <xf numFmtId="353" fontId="179" fillId="128" borderId="114" applyNumberFormat="0" applyAlignment="0" applyProtection="0"/>
    <xf numFmtId="4" fontId="48" fillId="18" borderId="110" applyNumberFormat="0" applyProtection="0">
      <alignment vertical="center"/>
    </xf>
    <xf numFmtId="4" fontId="250" fillId="45" borderId="110" applyNumberFormat="0" applyProtection="0">
      <alignment vertical="center"/>
    </xf>
    <xf numFmtId="4" fontId="48" fillId="45" borderId="110" applyNumberFormat="0" applyProtection="0">
      <alignment horizontal="left" vertical="center" indent="1"/>
    </xf>
    <xf numFmtId="353" fontId="251" fillId="18" borderId="115" applyNumberFormat="0" applyProtection="0">
      <alignment horizontal="left" vertical="top" indent="1"/>
    </xf>
    <xf numFmtId="4" fontId="48" fillId="64" borderId="110" applyNumberFormat="0" applyProtection="0">
      <alignment horizontal="left" vertical="center" indent="1"/>
    </xf>
    <xf numFmtId="4" fontId="48" fillId="20" borderId="110" applyNumberFormat="0" applyProtection="0">
      <alignment horizontal="right" vertical="center"/>
    </xf>
    <xf numFmtId="4" fontId="48" fillId="131" borderId="110" applyNumberFormat="0" applyProtection="0">
      <alignment horizontal="right" vertical="center"/>
    </xf>
    <xf numFmtId="4" fontId="48" fillId="22" borderId="116" applyNumberFormat="0" applyProtection="0">
      <alignment horizontal="right" vertical="center"/>
    </xf>
    <xf numFmtId="4" fontId="48" fillId="23" borderId="110" applyNumberFormat="0" applyProtection="0">
      <alignment horizontal="right" vertical="center"/>
    </xf>
    <xf numFmtId="4" fontId="48" fillId="24" borderId="110" applyNumberFormat="0" applyProtection="0">
      <alignment horizontal="right" vertical="center"/>
    </xf>
    <xf numFmtId="4" fontId="48" fillId="25" borderId="110" applyNumberFormat="0" applyProtection="0">
      <alignment horizontal="right" vertical="center"/>
    </xf>
    <xf numFmtId="4" fontId="48" fillId="26" borderId="110" applyNumberFormat="0" applyProtection="0">
      <alignment horizontal="right" vertical="center"/>
    </xf>
    <xf numFmtId="4" fontId="48" fillId="27" borderId="110" applyNumberFormat="0" applyProtection="0">
      <alignment horizontal="right" vertical="center"/>
    </xf>
    <xf numFmtId="4" fontId="48" fillId="28" borderId="110" applyNumberFormat="0" applyProtection="0">
      <alignment horizontal="right" vertical="center"/>
    </xf>
    <xf numFmtId="4" fontId="48" fillId="29" borderId="116" applyNumberFormat="0" applyProtection="0">
      <alignment horizontal="left" vertical="center" indent="1"/>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19" borderId="110" applyNumberFormat="0" applyProtection="0">
      <alignment horizontal="right" vertical="center"/>
    </xf>
    <xf numFmtId="4" fontId="48" fillId="30" borderId="116" applyNumberFormat="0" applyProtection="0">
      <alignment horizontal="left" vertical="center" indent="1"/>
    </xf>
    <xf numFmtId="4" fontId="48" fillId="19" borderId="116" applyNumberFormat="0" applyProtection="0">
      <alignment horizontal="left" vertical="center" indent="1"/>
    </xf>
    <xf numFmtId="353" fontId="48" fillId="61" borderId="110" applyNumberFormat="0" applyProtection="0">
      <alignment horizontal="left" vertical="center" indent="1"/>
    </xf>
    <xf numFmtId="353" fontId="4" fillId="31" borderId="115" applyNumberFormat="0" applyProtection="0">
      <alignment horizontal="left" vertical="center"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83" borderId="110" applyNumberFormat="0" applyProtection="0">
      <alignment horizontal="left" vertical="center" indent="1"/>
    </xf>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0" applyNumberFormat="0" applyProtection="0">
      <alignment horizontal="left" vertical="center"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252" fillId="19"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center" indent="1"/>
    </xf>
    <xf numFmtId="353" fontId="48" fillId="30" borderId="110" applyNumberFormat="0" applyProtection="0">
      <alignment horizontal="left" vertical="center"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center" indent="1"/>
    </xf>
    <xf numFmtId="353" fontId="48" fillId="32" borderId="110" applyNumberFormat="0" applyProtection="0">
      <alignment horizontal="left" vertical="center" indent="1"/>
    </xf>
    <xf numFmtId="164" fontId="8" fillId="0" borderId="0" applyFont="0" applyFill="0" applyBorder="0" applyAlignment="0" applyProtection="0"/>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 fillId="19" borderId="115" applyNumberFormat="0" applyProtection="0">
      <alignment horizontal="left" vertical="center" indent="1"/>
    </xf>
    <xf numFmtId="353" fontId="48" fillId="83" borderId="110"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31" borderId="115"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353" fontId="48" fillId="61" borderId="110" applyNumberFormat="0" applyProtection="0">
      <alignment horizontal="left" vertical="center" indent="1"/>
    </xf>
    <xf numFmtId="4" fontId="48" fillId="19" borderId="116" applyNumberFormat="0" applyProtection="0">
      <alignment horizontal="left" vertical="center" indent="1"/>
    </xf>
    <xf numFmtId="4" fontId="48" fillId="30" borderId="116" applyNumberFormat="0" applyProtection="0">
      <alignment horizontal="left" vertical="center" indent="1"/>
    </xf>
    <xf numFmtId="4" fontId="48" fillId="19" borderId="110" applyNumberFormat="0" applyProtection="0">
      <alignment horizontal="right" vertical="center"/>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29" borderId="116" applyNumberFormat="0" applyProtection="0">
      <alignment horizontal="left" vertical="center" indent="1"/>
    </xf>
    <xf numFmtId="4" fontId="48" fillId="28" borderId="110" applyNumberFormat="0" applyProtection="0">
      <alignment horizontal="right" vertical="center"/>
    </xf>
    <xf numFmtId="4" fontId="48" fillId="27" borderId="110" applyNumberFormat="0" applyProtection="0">
      <alignment horizontal="right" vertical="center"/>
    </xf>
    <xf numFmtId="4" fontId="48" fillId="26" borderId="110" applyNumberFormat="0" applyProtection="0">
      <alignment horizontal="right" vertical="center"/>
    </xf>
    <xf numFmtId="4" fontId="48" fillId="25" borderId="110" applyNumberFormat="0" applyProtection="0">
      <alignment horizontal="right" vertical="center"/>
    </xf>
    <xf numFmtId="4" fontId="48" fillId="24" borderId="110" applyNumberFormat="0" applyProtection="0">
      <alignment horizontal="right" vertical="center"/>
    </xf>
    <xf numFmtId="4" fontId="48" fillId="23" borderId="110" applyNumberFormat="0" applyProtection="0">
      <alignment horizontal="right" vertical="center"/>
    </xf>
    <xf numFmtId="4" fontId="48" fillId="22" borderId="116"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353" fontId="251" fillId="18" borderId="115" applyNumberFormat="0" applyProtection="0">
      <alignment horizontal="left" vertical="top"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353" fontId="179" fillId="128" borderId="114" applyNumberFormat="0" applyAlignment="0" applyProtection="0"/>
    <xf numFmtId="353" fontId="179" fillId="128" borderId="114" applyNumberFormat="0" applyAlignment="0" applyProtection="0"/>
    <xf numFmtId="353" fontId="48" fillId="13" borderId="110" applyNumberFormat="0" applyFont="0" applyAlignment="0" applyProtection="0"/>
    <xf numFmtId="4" fontId="48" fillId="0" borderId="110" applyNumberFormat="0" applyProtection="0">
      <alignment horizontal="right" vertical="center"/>
    </xf>
    <xf numFmtId="353" fontId="10" fillId="0" borderId="119" applyNumberFormat="0" applyFill="0" applyAlignment="0" applyProtection="0"/>
    <xf numFmtId="353" fontId="10" fillId="0" borderId="119" applyNumberFormat="0" applyFill="0" applyAlignment="0" applyProtection="0"/>
    <xf numFmtId="37" fontId="59" fillId="0" borderId="118" applyNumberFormat="0"/>
    <xf numFmtId="4" fontId="254" fillId="33" borderId="110" applyNumberFormat="0" applyProtection="0">
      <alignment horizontal="right" vertical="center"/>
    </xf>
    <xf numFmtId="4" fontId="253" fillId="35" borderId="116" applyNumberFormat="0" applyProtection="0">
      <alignment horizontal="left" vertical="center" indent="1"/>
    </xf>
    <xf numFmtId="4" fontId="48" fillId="64" borderId="110" applyNumberFormat="0" applyProtection="0">
      <alignment horizontal="left" vertical="center" indent="1"/>
    </xf>
    <xf numFmtId="4" fontId="250" fillId="50" borderId="110" applyNumberFormat="0" applyProtection="0">
      <alignment horizontal="right" vertical="center"/>
    </xf>
    <xf numFmtId="4" fontId="48" fillId="0" borderId="110" applyNumberFormat="0" applyProtection="0">
      <alignment horizontal="right" vertical="center"/>
    </xf>
    <xf numFmtId="353" fontId="252" fillId="34" borderId="115" applyNumberFormat="0" applyProtection="0">
      <alignment horizontal="left" vertical="top" indent="1"/>
    </xf>
    <xf numFmtId="4" fontId="252" fillId="61" borderId="115" applyNumberFormat="0" applyProtection="0">
      <alignment horizontal="left" vertical="center" indent="1"/>
    </xf>
    <xf numFmtId="4" fontId="252" fillId="34" borderId="115" applyNumberFormat="0" applyProtection="0">
      <alignment vertical="center"/>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4" fontId="48" fillId="26" borderId="110" applyNumberFormat="0" applyProtection="0">
      <alignment horizontal="right" vertical="center"/>
    </xf>
    <xf numFmtId="210" fontId="59" fillId="0" borderId="29" applyFill="0"/>
    <xf numFmtId="353" fontId="48" fillId="83" borderId="110" applyNumberFormat="0" applyProtection="0">
      <alignment horizontal="left" vertical="center" indent="1"/>
    </xf>
    <xf numFmtId="4" fontId="48" fillId="24" borderId="110" applyNumberFormat="0" applyProtection="0">
      <alignment horizontal="right" vertical="center"/>
    </xf>
    <xf numFmtId="4" fontId="48" fillId="23" borderId="110" applyNumberFormat="0" applyProtection="0">
      <alignment horizontal="right" vertical="center"/>
    </xf>
    <xf numFmtId="353" fontId="248" fillId="128" borderId="110" applyNumberFormat="0" applyAlignment="0" applyProtection="0"/>
    <xf numFmtId="353" fontId="248" fillId="128" borderId="110" applyNumberFormat="0" applyAlignment="0" applyProtection="0"/>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 fillId="30" borderId="115" applyNumberFormat="0" applyProtection="0">
      <alignment horizontal="left" vertical="center" indent="1"/>
    </xf>
    <xf numFmtId="353" fontId="10" fillId="0" borderId="119" applyNumberFormat="0" applyFill="0" applyAlignment="0" applyProtection="0"/>
    <xf numFmtId="353" fontId="10" fillId="0" borderId="119" applyNumberFormat="0" applyFill="0" applyAlignment="0" applyProtection="0"/>
    <xf numFmtId="37" fontId="59" fillId="0" borderId="118" applyNumberFormat="0"/>
    <xf numFmtId="4" fontId="254" fillId="33" borderId="110" applyNumberFormat="0" applyProtection="0">
      <alignment horizontal="right" vertical="center"/>
    </xf>
    <xf numFmtId="4" fontId="253" fillId="35" borderId="116" applyNumberFormat="0" applyProtection="0">
      <alignment horizontal="left" vertical="center" indent="1"/>
    </xf>
    <xf numFmtId="353" fontId="252" fillId="19" borderId="115" applyNumberFormat="0" applyProtection="0">
      <alignment horizontal="left" vertical="top" indent="1"/>
    </xf>
    <xf numFmtId="4" fontId="48" fillId="64" borderId="110" applyNumberFormat="0" applyProtection="0">
      <alignment horizontal="left" vertical="center" indent="1"/>
    </xf>
    <xf numFmtId="4" fontId="250" fillId="50" borderId="110" applyNumberFormat="0" applyProtection="0">
      <alignment horizontal="right" vertical="center"/>
    </xf>
    <xf numFmtId="4" fontId="48" fillId="0" borderId="110" applyNumberFormat="0" applyProtection="0">
      <alignment horizontal="right" vertical="center"/>
    </xf>
    <xf numFmtId="353" fontId="252" fillId="34" borderId="115" applyNumberFormat="0" applyProtection="0">
      <alignment horizontal="left" vertical="top" indent="1"/>
    </xf>
    <xf numFmtId="4" fontId="252" fillId="61" borderId="115" applyNumberFormat="0" applyProtection="0">
      <alignment horizontal="left" vertical="center" indent="1"/>
    </xf>
    <xf numFmtId="4" fontId="252" fillId="34" borderId="115" applyNumberFormat="0" applyProtection="0">
      <alignment vertical="center"/>
    </xf>
    <xf numFmtId="353" fontId="88" fillId="31" borderId="117" applyBorder="0"/>
    <xf numFmtId="353" fontId="48" fillId="32" borderId="110" applyNumberFormat="0" applyProtection="0">
      <alignment horizontal="left" vertical="center"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center" indent="1"/>
    </xf>
    <xf numFmtId="353" fontId="48" fillId="30" borderId="110" applyNumberFormat="0" applyProtection="0">
      <alignment horizontal="left" vertical="center"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center" indent="1"/>
    </xf>
    <xf numFmtId="353" fontId="48" fillId="32" borderId="110" applyNumberFormat="0" applyProtection="0">
      <alignment horizontal="left" vertical="center"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center" indent="1"/>
    </xf>
    <xf numFmtId="353" fontId="48" fillId="83" borderId="110"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353" fontId="48" fillId="61" borderId="110" applyNumberFormat="0" applyProtection="0">
      <alignment horizontal="left" vertical="center" indent="1"/>
    </xf>
    <xf numFmtId="4" fontId="48" fillId="19" borderId="116" applyNumberFormat="0" applyProtection="0">
      <alignment horizontal="left" vertical="center" indent="1"/>
    </xf>
    <xf numFmtId="4" fontId="48" fillId="30" borderId="116" applyNumberFormat="0" applyProtection="0">
      <alignment horizontal="left" vertical="center" indent="1"/>
    </xf>
    <xf numFmtId="4" fontId="48" fillId="19" borderId="110" applyNumberFormat="0" applyProtection="0">
      <alignment horizontal="right" vertical="center"/>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29" borderId="116" applyNumberFormat="0" applyProtection="0">
      <alignment horizontal="left" vertical="center" indent="1"/>
    </xf>
    <xf numFmtId="4" fontId="48" fillId="28" borderId="110" applyNumberFormat="0" applyProtection="0">
      <alignment horizontal="right" vertical="center"/>
    </xf>
    <xf numFmtId="4" fontId="48" fillId="27" borderId="110" applyNumberFormat="0" applyProtection="0">
      <alignment horizontal="right" vertical="center"/>
    </xf>
    <xf numFmtId="4" fontId="48" fillId="26" borderId="110" applyNumberFormat="0" applyProtection="0">
      <alignment horizontal="right" vertical="center"/>
    </xf>
    <xf numFmtId="4" fontId="48" fillId="25" borderId="110" applyNumberFormat="0" applyProtection="0">
      <alignment horizontal="right" vertical="center"/>
    </xf>
    <xf numFmtId="4" fontId="48" fillId="24" borderId="110" applyNumberFormat="0" applyProtection="0">
      <alignment horizontal="right" vertical="center"/>
    </xf>
    <xf numFmtId="4" fontId="48" fillId="23" borderId="110" applyNumberFormat="0" applyProtection="0">
      <alignment horizontal="right" vertical="center"/>
    </xf>
    <xf numFmtId="4" fontId="48" fillId="22" borderId="116"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353" fontId="251" fillId="18" borderId="115" applyNumberFormat="0" applyProtection="0">
      <alignment horizontal="left" vertical="top"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353" fontId="48" fillId="61" borderId="110" applyNumberFormat="0" applyProtection="0">
      <alignment horizontal="left" vertical="center" indent="1"/>
    </xf>
    <xf numFmtId="4" fontId="48" fillId="19" borderId="110" applyNumberFormat="0" applyProtection="0">
      <alignment horizontal="right" vertical="center"/>
    </xf>
    <xf numFmtId="4" fontId="48" fillId="28" borderId="110" applyNumberFormat="0" applyProtection="0">
      <alignment horizontal="right" vertical="center"/>
    </xf>
    <xf numFmtId="4" fontId="48" fillId="27" borderId="110" applyNumberFormat="0" applyProtection="0">
      <alignment horizontal="right" vertical="center"/>
    </xf>
    <xf numFmtId="4" fontId="48" fillId="25" borderId="110"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353" fontId="179" fillId="128" borderId="114" applyNumberFormat="0" applyAlignment="0" applyProtection="0"/>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137" fillId="14" borderId="110" applyNumberFormat="0" applyAlignment="0" applyProtection="0"/>
    <xf numFmtId="353" fontId="248" fillId="128" borderId="110" applyNumberFormat="0" applyAlignment="0" applyProtection="0"/>
    <xf numFmtId="353" fontId="248" fillId="128" borderId="110"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79" fillId="128" borderId="114" applyNumberFormat="0" applyAlignment="0" applyProtection="0"/>
    <xf numFmtId="353" fontId="179" fillId="128" borderId="114" applyNumberFormat="0" applyAlignment="0" applyProtection="0"/>
    <xf numFmtId="4" fontId="48" fillId="18" borderId="110" applyNumberFormat="0" applyProtection="0">
      <alignment vertical="center"/>
    </xf>
    <xf numFmtId="4" fontId="250" fillId="45" borderId="110" applyNumberFormat="0" applyProtection="0">
      <alignment vertical="center"/>
    </xf>
    <xf numFmtId="4" fontId="48" fillId="45" borderId="110" applyNumberFormat="0" applyProtection="0">
      <alignment horizontal="left" vertical="center" indent="1"/>
    </xf>
    <xf numFmtId="353" fontId="251" fillId="18" borderId="115" applyNumberFormat="0" applyProtection="0">
      <alignment horizontal="left" vertical="top" indent="1"/>
    </xf>
    <xf numFmtId="4" fontId="48" fillId="64" borderId="110" applyNumberFormat="0" applyProtection="0">
      <alignment horizontal="left" vertical="center" indent="1"/>
    </xf>
    <xf numFmtId="4" fontId="48" fillId="20" borderId="110" applyNumberFormat="0" applyProtection="0">
      <alignment horizontal="right" vertical="center"/>
    </xf>
    <xf numFmtId="4" fontId="48" fillId="131" borderId="110" applyNumberFormat="0" applyProtection="0">
      <alignment horizontal="right" vertical="center"/>
    </xf>
    <xf numFmtId="4" fontId="48" fillId="22" borderId="116" applyNumberFormat="0" applyProtection="0">
      <alignment horizontal="right" vertical="center"/>
    </xf>
    <xf numFmtId="4" fontId="48" fillId="23" borderId="110" applyNumberFormat="0" applyProtection="0">
      <alignment horizontal="right" vertical="center"/>
    </xf>
    <xf numFmtId="4" fontId="48" fillId="24" borderId="110" applyNumberFormat="0" applyProtection="0">
      <alignment horizontal="right" vertical="center"/>
    </xf>
    <xf numFmtId="4" fontId="48" fillId="25" borderId="110" applyNumberFormat="0" applyProtection="0">
      <alignment horizontal="right" vertical="center"/>
    </xf>
    <xf numFmtId="4" fontId="48" fillId="26" borderId="110" applyNumberFormat="0" applyProtection="0">
      <alignment horizontal="right" vertical="center"/>
    </xf>
    <xf numFmtId="4" fontId="48" fillId="27" borderId="110" applyNumberFormat="0" applyProtection="0">
      <alignment horizontal="right" vertical="center"/>
    </xf>
    <xf numFmtId="4" fontId="48" fillId="28" borderId="110" applyNumberFormat="0" applyProtection="0">
      <alignment horizontal="right" vertical="center"/>
    </xf>
    <xf numFmtId="4" fontId="48" fillId="29" borderId="116" applyNumberFormat="0" applyProtection="0">
      <alignment horizontal="left" vertical="center" indent="1"/>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19" borderId="110" applyNumberFormat="0" applyProtection="0">
      <alignment horizontal="right" vertical="center"/>
    </xf>
    <xf numFmtId="4" fontId="48" fillId="30" borderId="116" applyNumberFormat="0" applyProtection="0">
      <alignment horizontal="left" vertical="center" indent="1"/>
    </xf>
    <xf numFmtId="4" fontId="48" fillId="19" borderId="116" applyNumberFormat="0" applyProtection="0">
      <alignment horizontal="left" vertical="center" indent="1"/>
    </xf>
    <xf numFmtId="353" fontId="48" fillId="61" borderId="110" applyNumberFormat="0" applyProtection="0">
      <alignment horizontal="left" vertical="center" indent="1"/>
    </xf>
    <xf numFmtId="353" fontId="4" fillId="31" borderId="115" applyNumberFormat="0" applyProtection="0">
      <alignment horizontal="left" vertical="center"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83" borderId="110" applyNumberFormat="0" applyProtection="0">
      <alignment horizontal="left" vertical="center" indent="1"/>
    </xf>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0" applyNumberFormat="0" applyProtection="0">
      <alignment horizontal="left" vertical="center"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48" fillId="30" borderId="115" applyNumberFormat="0" applyProtection="0">
      <alignment horizontal="left" vertical="top" indent="1"/>
    </xf>
    <xf numFmtId="4" fontId="252" fillId="61" borderId="115" applyNumberFormat="0" applyProtection="0">
      <alignment horizontal="left" vertical="center" indent="1"/>
    </xf>
    <xf numFmtId="210" fontId="59" fillId="0" borderId="29" applyFill="0"/>
    <xf numFmtId="353" fontId="48" fillId="30" borderId="115" applyNumberFormat="0" applyProtection="0">
      <alignment horizontal="left" vertical="top" indent="1"/>
    </xf>
    <xf numFmtId="353" fontId="252" fillId="19" borderId="115" applyNumberFormat="0" applyProtection="0">
      <alignment horizontal="left" vertical="top" indent="1"/>
    </xf>
    <xf numFmtId="353" fontId="48" fillId="32" borderId="115" applyNumberFormat="0" applyProtection="0">
      <alignment horizontal="left" vertical="top" indent="1"/>
    </xf>
    <xf numFmtId="353" fontId="48" fillId="31" borderId="115" applyNumberFormat="0" applyProtection="0">
      <alignment horizontal="left" vertical="top" indent="1"/>
    </xf>
    <xf numFmtId="4" fontId="48" fillId="27" borderId="110" applyNumberFormat="0" applyProtection="0">
      <alignment horizontal="right" vertical="center"/>
    </xf>
    <xf numFmtId="353" fontId="48" fillId="19" borderId="115" applyNumberFormat="0" applyProtection="0">
      <alignment horizontal="left" vertical="top" indent="1"/>
    </xf>
    <xf numFmtId="164" fontId="7" fillId="0" borderId="0" applyFont="0" applyFill="0" applyBorder="0" applyAlignment="0" applyProtection="0"/>
    <xf numFmtId="353" fontId="48" fillId="19" borderId="115" applyNumberFormat="0" applyProtection="0">
      <alignment horizontal="left" vertical="top" indent="1"/>
    </xf>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31" borderId="115" applyNumberFormat="0" applyProtection="0">
      <alignment horizontal="left" vertical="top" indent="1"/>
    </xf>
    <xf numFmtId="4" fontId="48" fillId="64" borderId="110" applyNumberFormat="0" applyProtection="0">
      <alignment horizontal="left" vertical="center" indent="1"/>
    </xf>
    <xf numFmtId="353" fontId="48" fillId="32" borderId="115" applyNumberFormat="0" applyProtection="0">
      <alignment horizontal="left" vertical="top" indent="1"/>
    </xf>
    <xf numFmtId="353" fontId="10" fillId="0" borderId="119" applyNumberFormat="0" applyFill="0" applyAlignment="0" applyProtection="0"/>
    <xf numFmtId="353" fontId="10" fillId="0" borderId="119" applyNumberFormat="0" applyFill="0" applyAlignment="0" applyProtection="0"/>
    <xf numFmtId="4" fontId="48" fillId="28" borderId="110" applyNumberFormat="0" applyProtection="0">
      <alignment horizontal="right" vertical="center"/>
    </xf>
    <xf numFmtId="353" fontId="48" fillId="30" borderId="115" applyNumberFormat="0" applyProtection="0">
      <alignment horizontal="left" vertical="top" indent="1"/>
    </xf>
    <xf numFmtId="37" fontId="59" fillId="0" borderId="118" applyNumberFormat="0"/>
    <xf numFmtId="353" fontId="48" fillId="19" borderId="115" applyNumberFormat="0" applyProtection="0">
      <alignment horizontal="left" vertical="top" indent="1"/>
    </xf>
    <xf numFmtId="353" fontId="251" fillId="18" borderId="115" applyNumberFormat="0" applyProtection="0">
      <alignment horizontal="left" vertical="top" indent="1"/>
    </xf>
    <xf numFmtId="353" fontId="48" fillId="13" borderId="110" applyNumberFormat="0" applyFont="0" applyAlignment="0" applyProtection="0"/>
    <xf numFmtId="4" fontId="254" fillId="33" borderId="110" applyNumberFormat="0" applyProtection="0">
      <alignment horizontal="right" vertical="center"/>
    </xf>
    <xf numFmtId="4" fontId="253" fillId="35" borderId="116" applyNumberFormat="0" applyProtection="0">
      <alignment horizontal="left" vertical="center" indent="1"/>
    </xf>
    <xf numFmtId="353" fontId="252" fillId="19" borderId="115" applyNumberFormat="0" applyProtection="0">
      <alignment horizontal="left" vertical="top" indent="1"/>
    </xf>
    <xf numFmtId="4" fontId="48" fillId="64" borderId="110" applyNumberFormat="0" applyProtection="0">
      <alignment horizontal="left" vertical="center" indent="1"/>
    </xf>
    <xf numFmtId="4" fontId="250" fillId="50" borderId="110" applyNumberFormat="0" applyProtection="0">
      <alignment horizontal="right" vertical="center"/>
    </xf>
    <xf numFmtId="4" fontId="48" fillId="0" borderId="110" applyNumberFormat="0" applyProtection="0">
      <alignment horizontal="right" vertical="center"/>
    </xf>
    <xf numFmtId="353" fontId="252" fillId="34" borderId="115" applyNumberFormat="0" applyProtection="0">
      <alignment horizontal="left" vertical="top" indent="1"/>
    </xf>
    <xf numFmtId="4" fontId="252" fillId="61" borderId="115" applyNumberFormat="0" applyProtection="0">
      <alignment horizontal="left" vertical="center" indent="1"/>
    </xf>
    <xf numFmtId="4" fontId="252" fillId="34" borderId="115" applyNumberFormat="0" applyProtection="0">
      <alignment vertical="center"/>
    </xf>
    <xf numFmtId="353" fontId="88" fillId="31" borderId="117" applyBorder="0"/>
    <xf numFmtId="4" fontId="48" fillId="25" borderId="110" applyNumberFormat="0" applyProtection="0">
      <alignment horizontal="right" vertical="center"/>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center" indent="1"/>
    </xf>
    <xf numFmtId="353" fontId="48" fillId="30" borderId="110" applyNumberFormat="0" applyProtection="0">
      <alignment horizontal="left" vertical="center"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center" indent="1"/>
    </xf>
    <xf numFmtId="353" fontId="48" fillId="32" borderId="110" applyNumberFormat="0" applyProtection="0">
      <alignment horizontal="left" vertical="center"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center" indent="1"/>
    </xf>
    <xf numFmtId="353" fontId="48" fillId="83" borderId="110"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353" fontId="48" fillId="61" borderId="110" applyNumberFormat="0" applyProtection="0">
      <alignment horizontal="left" vertical="center" indent="1"/>
    </xf>
    <xf numFmtId="4" fontId="48" fillId="19" borderId="116" applyNumberFormat="0" applyProtection="0">
      <alignment horizontal="left" vertical="center" indent="1"/>
    </xf>
    <xf numFmtId="4" fontId="48" fillId="30" borderId="116" applyNumberFormat="0" applyProtection="0">
      <alignment horizontal="left" vertical="center" indent="1"/>
    </xf>
    <xf numFmtId="4" fontId="48" fillId="19" borderId="110" applyNumberFormat="0" applyProtection="0">
      <alignment horizontal="right" vertical="center"/>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29" borderId="116" applyNumberFormat="0" applyProtection="0">
      <alignment horizontal="left" vertical="center" indent="1"/>
    </xf>
    <xf numFmtId="4" fontId="48" fillId="28" borderId="110" applyNumberFormat="0" applyProtection="0">
      <alignment horizontal="right" vertical="center"/>
    </xf>
    <xf numFmtId="4" fontId="48" fillId="27" borderId="110" applyNumberFormat="0" applyProtection="0">
      <alignment horizontal="right" vertical="center"/>
    </xf>
    <xf numFmtId="4" fontId="48" fillId="26" borderId="110" applyNumberFormat="0" applyProtection="0">
      <alignment horizontal="right" vertical="center"/>
    </xf>
    <xf numFmtId="4" fontId="48" fillId="25" borderId="110" applyNumberFormat="0" applyProtection="0">
      <alignment horizontal="right" vertical="center"/>
    </xf>
    <xf numFmtId="4" fontId="48" fillId="24" borderId="110" applyNumberFormat="0" applyProtection="0">
      <alignment horizontal="right" vertical="center"/>
    </xf>
    <xf numFmtId="4" fontId="48" fillId="23" borderId="110" applyNumberFormat="0" applyProtection="0">
      <alignment horizontal="right" vertical="center"/>
    </xf>
    <xf numFmtId="4" fontId="48" fillId="22" borderId="116"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353" fontId="251" fillId="18" borderId="115" applyNumberFormat="0" applyProtection="0">
      <alignment horizontal="left" vertical="top"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4" fontId="48" fillId="27" borderId="110" applyNumberFormat="0" applyProtection="0">
      <alignment horizontal="right" vertical="center"/>
    </xf>
    <xf numFmtId="4" fontId="48" fillId="25" borderId="110" applyNumberFormat="0" applyProtection="0">
      <alignment horizontal="right" vertical="center"/>
    </xf>
    <xf numFmtId="353" fontId="179" fillId="128" borderId="114" applyNumberFormat="0" applyAlignment="0" applyProtection="0"/>
    <xf numFmtId="353" fontId="48" fillId="61" borderId="110" applyNumberFormat="0" applyProtection="0">
      <alignment horizontal="left" vertical="center" indent="1"/>
    </xf>
    <xf numFmtId="353" fontId="179" fillId="128" borderId="114" applyNumberFormat="0" applyAlignment="0" applyProtection="0"/>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4" fontId="48" fillId="131" borderId="110" applyNumberFormat="0" applyProtection="0">
      <alignment horizontal="right" vertical="center"/>
    </xf>
    <xf numFmtId="353" fontId="48" fillId="13" borderId="110" applyNumberFormat="0" applyFont="0" applyAlignment="0" applyProtection="0"/>
    <xf numFmtId="4" fontId="48" fillId="22" borderId="116" applyNumberFormat="0" applyProtection="0">
      <alignment horizontal="right" vertical="center"/>
    </xf>
    <xf numFmtId="353" fontId="179" fillId="128" borderId="114" applyNumberFormat="0" applyAlignment="0" applyProtection="0"/>
    <xf numFmtId="353" fontId="48" fillId="13" borderId="110" applyNumberFormat="0" applyFont="0" applyAlignment="0" applyProtection="0"/>
    <xf numFmtId="4" fontId="48" fillId="20" borderId="110" applyNumberFormat="0" applyProtection="0">
      <alignment horizontal="right" vertical="center"/>
    </xf>
    <xf numFmtId="4" fontId="48" fillId="18" borderId="110" applyNumberFormat="0" applyProtection="0">
      <alignment vertical="center"/>
    </xf>
    <xf numFmtId="4" fontId="48" fillId="24" borderId="110" applyNumberFormat="0" applyProtection="0">
      <alignment horizontal="right" vertical="center"/>
    </xf>
    <xf numFmtId="4" fontId="250" fillId="45" borderId="110" applyNumberFormat="0" applyProtection="0">
      <alignment vertical="center"/>
    </xf>
    <xf numFmtId="164" fontId="7" fillId="0" borderId="0" applyFont="0" applyFill="0" applyBorder="0" applyAlignment="0" applyProtection="0"/>
    <xf numFmtId="353" fontId="137" fillId="14" borderId="110" applyNumberFormat="0" applyAlignment="0" applyProtection="0"/>
    <xf numFmtId="353" fontId="48" fillId="61" borderId="110" applyNumberFormat="0" applyProtection="0">
      <alignment horizontal="left" vertical="center" indent="1"/>
    </xf>
    <xf numFmtId="353" fontId="48" fillId="13" borderId="110" applyNumberFormat="0" applyFont="0" applyAlignment="0" applyProtection="0"/>
    <xf numFmtId="353" fontId="137" fillId="14" borderId="110" applyNumberFormat="0" applyAlignment="0" applyProtection="0"/>
    <xf numFmtId="4" fontId="250" fillId="45" borderId="110" applyNumberFormat="0" applyProtection="0">
      <alignment vertical="center"/>
    </xf>
    <xf numFmtId="164" fontId="7" fillId="0" borderId="0" applyFont="0" applyFill="0" applyBorder="0" applyAlignment="0" applyProtection="0"/>
    <xf numFmtId="4" fontId="48" fillId="19" borderId="110" applyNumberFormat="0" applyProtection="0">
      <alignment horizontal="right" vertical="center"/>
    </xf>
    <xf numFmtId="4" fontId="48" fillId="18" borderId="110" applyNumberFormat="0" applyProtection="0">
      <alignment vertical="center"/>
    </xf>
    <xf numFmtId="4" fontId="48" fillId="18" borderId="110" applyNumberFormat="0" applyProtection="0">
      <alignment vertical="center"/>
    </xf>
    <xf numFmtId="4" fontId="48" fillId="19" borderId="110" applyNumberFormat="0" applyProtection="0">
      <alignment horizontal="right" vertical="center"/>
    </xf>
    <xf numFmtId="4" fontId="48" fillId="23" borderId="110" applyNumberFormat="0" applyProtection="0">
      <alignment horizontal="right" vertical="center"/>
    </xf>
    <xf numFmtId="353" fontId="179" fillId="128" borderId="114" applyNumberFormat="0" applyAlignment="0" applyProtection="0"/>
    <xf numFmtId="353" fontId="48" fillId="13" borderId="110" applyNumberFormat="0" applyFont="0" applyAlignment="0" applyProtection="0"/>
    <xf numFmtId="4" fontId="48" fillId="131" borderId="110" applyNumberFormat="0" applyProtection="0">
      <alignment horizontal="right" vertical="center"/>
    </xf>
    <xf numFmtId="4" fontId="48" fillId="45" borderId="110" applyNumberFormat="0" applyProtection="0">
      <alignment horizontal="left" vertical="center" indent="1"/>
    </xf>
    <xf numFmtId="353" fontId="48" fillId="32" borderId="110" applyNumberFormat="0" applyProtection="0">
      <alignment horizontal="left" vertical="center" indent="1"/>
    </xf>
    <xf numFmtId="353" fontId="48" fillId="13" borderId="110" applyNumberFormat="0" applyFont="0" applyAlignment="0" applyProtection="0"/>
    <xf numFmtId="353" fontId="88" fillId="31" borderId="117" applyBorder="0"/>
    <xf numFmtId="353" fontId="10" fillId="0" borderId="119" applyNumberFormat="0" applyFill="0" applyAlignment="0" applyProtection="0"/>
    <xf numFmtId="164" fontId="7" fillId="0" borderId="0" applyFont="0" applyFill="0" applyBorder="0" applyAlignment="0" applyProtection="0"/>
    <xf numFmtId="353" fontId="248" fillId="128" borderId="110" applyNumberFormat="0" applyAlignment="0" applyProtection="0"/>
    <xf numFmtId="4" fontId="48" fillId="24" borderId="110" applyNumberFormat="0" applyProtection="0">
      <alignment horizontal="right" vertical="center"/>
    </xf>
    <xf numFmtId="353" fontId="48" fillId="13" borderId="110" applyNumberFormat="0" applyFont="0" applyAlignment="0" applyProtection="0"/>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4" fontId="48" fillId="64" borderId="110" applyNumberFormat="0" applyProtection="0">
      <alignment horizontal="left" vertical="center" indent="1"/>
    </xf>
    <xf numFmtId="353" fontId="252" fillId="19" borderId="115" applyNumberFormat="0" applyProtection="0">
      <alignment horizontal="left" vertical="top" indent="1"/>
    </xf>
    <xf numFmtId="353" fontId="10" fillId="0" borderId="119" applyNumberFormat="0" applyFill="0" applyAlignment="0" applyProtection="0"/>
    <xf numFmtId="353" fontId="48" fillId="13" borderId="110" applyNumberFormat="0" applyFont="0" applyAlignment="0" applyProtection="0"/>
    <xf numFmtId="4" fontId="250" fillId="45" borderId="110" applyNumberFormat="0" applyProtection="0">
      <alignment vertical="center"/>
    </xf>
    <xf numFmtId="353" fontId="48" fillId="83" borderId="110" applyNumberFormat="0" applyProtection="0">
      <alignment horizontal="left" vertical="center" indent="1"/>
    </xf>
    <xf numFmtId="37" fontId="59" fillId="0" borderId="118" applyNumberFormat="0"/>
    <xf numFmtId="353" fontId="48" fillId="31" borderId="115" applyNumberFormat="0" applyProtection="0">
      <alignment horizontal="left" vertical="top" indent="1"/>
    </xf>
    <xf numFmtId="353" fontId="48" fillId="83" borderId="110" applyNumberFormat="0" applyProtection="0">
      <alignment horizontal="left" vertical="center" indent="1"/>
    </xf>
    <xf numFmtId="353" fontId="48" fillId="19" borderId="115" applyNumberFormat="0" applyProtection="0">
      <alignment horizontal="left" vertical="top" indent="1"/>
    </xf>
    <xf numFmtId="353" fontId="4" fillId="32" borderId="115" applyNumberFormat="0" applyProtection="0">
      <alignment horizontal="left" vertical="top" indent="1"/>
    </xf>
    <xf numFmtId="353" fontId="48" fillId="19" borderId="115" applyNumberFormat="0" applyProtection="0">
      <alignment horizontal="left" vertical="top" indent="1"/>
    </xf>
    <xf numFmtId="353" fontId="48" fillId="61" borderId="110" applyNumberFormat="0" applyProtection="0">
      <alignment horizontal="left" vertical="center" indent="1"/>
    </xf>
    <xf numFmtId="4" fontId="48" fillId="28" borderId="110" applyNumberFormat="0" applyProtection="0">
      <alignment horizontal="right" vertical="center"/>
    </xf>
    <xf numFmtId="4" fontId="48" fillId="131" borderId="110" applyNumberFormat="0" applyProtection="0">
      <alignment horizontal="right" vertical="center"/>
    </xf>
    <xf numFmtId="4" fontId="48" fillId="64" borderId="110" applyNumberFormat="0" applyProtection="0">
      <alignment horizontal="left" vertical="center" indent="1"/>
    </xf>
    <xf numFmtId="4" fontId="250" fillId="45" borderId="110" applyNumberFormat="0" applyProtection="0">
      <alignment vertical="center"/>
    </xf>
    <xf numFmtId="4" fontId="254" fillId="33" borderId="110" applyNumberFormat="0" applyProtection="0">
      <alignment horizontal="right" vertical="center"/>
    </xf>
    <xf numFmtId="353" fontId="48" fillId="30" borderId="115" applyNumberFormat="0" applyProtection="0">
      <alignment horizontal="left" vertical="top" indent="1"/>
    </xf>
    <xf numFmtId="353" fontId="48" fillId="30" borderId="115" applyNumberFormat="0" applyProtection="0">
      <alignment horizontal="left" vertical="top" indent="1"/>
    </xf>
    <xf numFmtId="164" fontId="7" fillId="0" borderId="0" applyFont="0" applyFill="0" applyBorder="0" applyAlignment="0" applyProtection="0"/>
    <xf numFmtId="4" fontId="48" fillId="64" borderId="110" applyNumberFormat="0" applyProtection="0">
      <alignment horizontal="left" vertical="center" indent="1"/>
    </xf>
    <xf numFmtId="4" fontId="252" fillId="61" borderId="115" applyNumberFormat="0" applyProtection="0">
      <alignment horizontal="left" vertical="center" indent="1"/>
    </xf>
    <xf numFmtId="4" fontId="48" fillId="26" borderId="110" applyNumberFormat="0" applyProtection="0">
      <alignment horizontal="right" vertical="center"/>
    </xf>
    <xf numFmtId="4" fontId="48" fillId="24" borderId="110" applyNumberFormat="0" applyProtection="0">
      <alignment horizontal="right" vertical="center"/>
    </xf>
    <xf numFmtId="353" fontId="248" fillId="128" borderId="110"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3" fontId="48" fillId="30" borderId="115" applyNumberFormat="0" applyProtection="0">
      <alignment horizontal="left" vertical="top" indent="1"/>
    </xf>
    <xf numFmtId="4" fontId="250" fillId="45" borderId="110" applyNumberFormat="0" applyProtection="0">
      <alignment vertical="center"/>
    </xf>
    <xf numFmtId="4" fontId="48" fillId="20" borderId="110" applyNumberFormat="0" applyProtection="0">
      <alignment horizontal="right" vertical="center"/>
    </xf>
    <xf numFmtId="353" fontId="48" fillId="61" borderId="110" applyNumberFormat="0" applyProtection="0">
      <alignment horizontal="left" vertical="center" indent="1"/>
    </xf>
    <xf numFmtId="4" fontId="48" fillId="28" borderId="110" applyNumberFormat="0" applyProtection="0">
      <alignment horizontal="right" vertical="center"/>
    </xf>
    <xf numFmtId="4" fontId="48" fillId="25" borderId="110" applyNumberFormat="0" applyProtection="0">
      <alignment horizontal="right" vertical="center"/>
    </xf>
    <xf numFmtId="4" fontId="48" fillId="131" borderId="110" applyNumberFormat="0" applyProtection="0">
      <alignment horizontal="right" vertical="center"/>
    </xf>
    <xf numFmtId="4" fontId="48" fillId="27" borderId="110" applyNumberFormat="0" applyProtection="0">
      <alignment horizontal="right" vertical="center"/>
    </xf>
    <xf numFmtId="353" fontId="48" fillId="30" borderId="115" applyNumberFormat="0" applyProtection="0">
      <alignment horizontal="left" vertical="top" indent="1"/>
    </xf>
    <xf numFmtId="353" fontId="4" fillId="30" borderId="115" applyNumberFormat="0" applyProtection="0">
      <alignment horizontal="left" vertical="center" indent="1"/>
    </xf>
    <xf numFmtId="353" fontId="48" fillId="32" borderId="110" applyNumberFormat="0" applyProtection="0">
      <alignment horizontal="left" vertical="center"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179" fillId="128" borderId="114" applyNumberFormat="0" applyAlignment="0" applyProtection="0"/>
    <xf numFmtId="4" fontId="48" fillId="19" borderId="110" applyNumberFormat="0" applyProtection="0">
      <alignment horizontal="right" vertical="center"/>
    </xf>
    <xf numFmtId="164" fontId="2" fillId="0" borderId="0" applyFont="0" applyFill="0" applyBorder="0" applyAlignment="0" applyProtection="0"/>
    <xf numFmtId="4" fontId="48" fillId="23" borderId="110" applyNumberFormat="0" applyProtection="0">
      <alignment horizontal="right" vertical="center"/>
    </xf>
    <xf numFmtId="353" fontId="4" fillId="19" borderId="115" applyNumberFormat="0" applyProtection="0">
      <alignment horizontal="left" vertical="top" indent="1"/>
    </xf>
    <xf numFmtId="353" fontId="137" fillId="14" borderId="110" applyNumberFormat="0" applyAlignment="0" applyProtection="0"/>
    <xf numFmtId="353" fontId="10" fillId="0" borderId="119" applyNumberFormat="0" applyFill="0" applyAlignment="0" applyProtection="0"/>
    <xf numFmtId="353" fontId="4" fillId="30" borderId="115" applyNumberFormat="0" applyProtection="0">
      <alignment horizontal="left" vertical="top" indent="1"/>
    </xf>
    <xf numFmtId="4" fontId="250" fillId="50" borderId="110" applyNumberFormat="0" applyProtection="0">
      <alignment horizontal="right" vertical="center"/>
    </xf>
    <xf numFmtId="4" fontId="48" fillId="45" borderId="110" applyNumberFormat="0" applyProtection="0">
      <alignment horizontal="left" vertical="center" indent="1"/>
    </xf>
    <xf numFmtId="353" fontId="48" fillId="30" borderId="115" applyNumberFormat="0" applyProtection="0">
      <alignment horizontal="left" vertical="top" indent="1"/>
    </xf>
    <xf numFmtId="4" fontId="48" fillId="64" borderId="110" applyNumberFormat="0" applyProtection="0">
      <alignment horizontal="left" vertical="center" indent="1"/>
    </xf>
    <xf numFmtId="353" fontId="48" fillId="13" borderId="110" applyNumberFormat="0" applyFont="0" applyAlignment="0" applyProtection="0"/>
    <xf numFmtId="353" fontId="48" fillId="13" borderId="110" applyNumberFormat="0" applyFont="0" applyAlignment="0" applyProtection="0"/>
    <xf numFmtId="353" fontId="248" fillId="128" borderId="110" applyNumberFormat="0" applyAlignment="0" applyProtection="0"/>
    <xf numFmtId="353" fontId="137" fillId="14" borderId="110" applyNumberFormat="0" applyAlignment="0" applyProtection="0"/>
    <xf numFmtId="353" fontId="48" fillId="13" borderId="110" applyNumberFormat="0" applyFont="0" applyAlignment="0" applyProtection="0"/>
    <xf numFmtId="353" fontId="179" fillId="128" borderId="114" applyNumberFormat="0" applyAlignment="0" applyProtection="0"/>
    <xf numFmtId="4" fontId="252" fillId="34" borderId="115" applyNumberFormat="0" applyProtection="0">
      <alignment vertical="center"/>
    </xf>
    <xf numFmtId="353" fontId="48" fillId="32" borderId="115" applyNumberFormat="0" applyProtection="0">
      <alignment horizontal="left" vertical="top" indent="1"/>
    </xf>
    <xf numFmtId="353" fontId="248" fillId="128" borderId="110" applyNumberFormat="0" applyAlignment="0" applyProtection="0"/>
    <xf numFmtId="353" fontId="48" fillId="13" borderId="110" applyNumberFormat="0" applyFont="0" applyAlignment="0" applyProtection="0"/>
    <xf numFmtId="4" fontId="48" fillId="0" borderId="110" applyNumberFormat="0" applyProtection="0">
      <alignment horizontal="right" vertical="center"/>
    </xf>
    <xf numFmtId="353" fontId="48" fillId="31" borderId="115" applyNumberFormat="0" applyProtection="0">
      <alignment horizontal="left" vertical="top" indent="1"/>
    </xf>
    <xf numFmtId="353" fontId="48" fillId="30" borderId="115" applyNumberFormat="0" applyProtection="0">
      <alignment horizontal="left" vertical="top" indent="1"/>
    </xf>
    <xf numFmtId="4" fontId="253" fillId="35" borderId="116" applyNumberFormat="0" applyProtection="0">
      <alignment horizontal="left" vertical="center" indent="1"/>
    </xf>
    <xf numFmtId="353" fontId="137" fillId="14" borderId="110" applyNumberFormat="0" applyAlignment="0" applyProtection="0"/>
    <xf numFmtId="353" fontId="48" fillId="19" borderId="115" applyNumberFormat="0" applyProtection="0">
      <alignment horizontal="left" vertical="top" indent="1"/>
    </xf>
    <xf numFmtId="353" fontId="48" fillId="30" borderId="115" applyNumberFormat="0" applyProtection="0">
      <alignment horizontal="left" vertical="top" indent="1"/>
    </xf>
    <xf numFmtId="353" fontId="48" fillId="30" borderId="110" applyNumberFormat="0" applyProtection="0">
      <alignment horizontal="left" vertical="center" indent="1"/>
    </xf>
    <xf numFmtId="4" fontId="48" fillId="20" borderId="110" applyNumberFormat="0" applyProtection="0">
      <alignment horizontal="right" vertical="center"/>
    </xf>
    <xf numFmtId="4" fontId="48" fillId="0" borderId="110" applyNumberFormat="0" applyProtection="0">
      <alignment horizontal="right" vertical="center"/>
    </xf>
    <xf numFmtId="210" fontId="59" fillId="0" borderId="29" applyFill="0"/>
    <xf numFmtId="353" fontId="48" fillId="13" borderId="110" applyNumberFormat="0" applyFont="0" applyAlignment="0" applyProtection="0"/>
    <xf numFmtId="4" fontId="48" fillId="64" borderId="110" applyNumberFormat="0" applyProtection="0">
      <alignment horizontal="left" vertical="center" indent="1"/>
    </xf>
    <xf numFmtId="353" fontId="48" fillId="13" borderId="110" applyNumberFormat="0" applyFont="0" applyAlignment="0" applyProtection="0"/>
    <xf numFmtId="353" fontId="48" fillId="13" borderId="110" applyNumberFormat="0" applyFont="0" applyAlignment="0" applyProtection="0"/>
    <xf numFmtId="353" fontId="48" fillId="31" borderId="115" applyNumberFormat="0" applyProtection="0">
      <alignment horizontal="left" vertical="top"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13" borderId="110" applyNumberFormat="0" applyFont="0" applyAlignment="0" applyProtection="0"/>
    <xf numFmtId="4" fontId="48" fillId="24" borderId="110" applyNumberFormat="0" applyProtection="0">
      <alignment horizontal="right" vertical="center"/>
    </xf>
    <xf numFmtId="353" fontId="48" fillId="32" borderId="115" applyNumberFormat="0" applyProtection="0">
      <alignment horizontal="left" vertical="top" indent="1"/>
    </xf>
    <xf numFmtId="4" fontId="48" fillId="64" borderId="110" applyNumberFormat="0" applyProtection="0">
      <alignment horizontal="left" vertical="center" indent="1"/>
    </xf>
    <xf numFmtId="353" fontId="48" fillId="31" borderId="115" applyNumberFormat="0" applyProtection="0">
      <alignment horizontal="left" vertical="top" indent="1"/>
    </xf>
    <xf numFmtId="353" fontId="248" fillId="128" borderId="110" applyNumberFormat="0" applyAlignment="0" applyProtection="0"/>
    <xf numFmtId="4" fontId="252" fillId="61" borderId="115" applyNumberFormat="0" applyProtection="0">
      <alignment horizontal="left" vertical="center" indent="1"/>
    </xf>
    <xf numFmtId="353" fontId="10" fillId="0" borderId="119" applyNumberFormat="0" applyFill="0" applyAlignment="0" applyProtection="0"/>
    <xf numFmtId="353" fontId="48" fillId="13" borderId="110" applyNumberFormat="0" applyFont="0" applyAlignment="0" applyProtection="0"/>
    <xf numFmtId="353" fontId="48" fillId="31" borderId="115" applyNumberFormat="0" applyProtection="0">
      <alignment horizontal="left" vertical="top" indent="1"/>
    </xf>
    <xf numFmtId="4" fontId="48" fillId="64" borderId="110" applyNumberFormat="0" applyProtection="0">
      <alignment horizontal="left" vertical="center" indent="1"/>
    </xf>
    <xf numFmtId="353" fontId="248" fillId="128" borderId="110" applyNumberFormat="0" applyAlignment="0" applyProtection="0"/>
    <xf numFmtId="4" fontId="254" fillId="33" borderId="110" applyNumberFormat="0" applyProtection="0">
      <alignment horizontal="right" vertical="center"/>
    </xf>
    <xf numFmtId="353" fontId="88" fillId="31" borderId="117" applyBorder="0"/>
    <xf numFmtId="353" fontId="48" fillId="13" borderId="110" applyNumberFormat="0" applyFont="0" applyAlignment="0" applyProtection="0"/>
    <xf numFmtId="4" fontId="48" fillId="64" borderId="110" applyNumberFormat="0" applyProtection="0">
      <alignment horizontal="left" vertical="center"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13" borderId="110" applyNumberFormat="0" applyFont="0" applyAlignment="0" applyProtection="0"/>
    <xf numFmtId="353" fontId="179" fillId="128" borderId="114" applyNumberFormat="0" applyAlignment="0" applyProtection="0"/>
    <xf numFmtId="4" fontId="48" fillId="20" borderId="110" applyNumberFormat="0" applyProtection="0">
      <alignment horizontal="right" vertical="center"/>
    </xf>
    <xf numFmtId="353" fontId="48" fillId="31" borderId="115" applyNumberFormat="0" applyProtection="0">
      <alignment horizontal="left" vertical="top" indent="1"/>
    </xf>
    <xf numFmtId="353" fontId="88" fillId="31" borderId="117" applyBorder="0"/>
    <xf numFmtId="4" fontId="48" fillId="28" borderId="110" applyNumberFormat="0" applyProtection="0">
      <alignment horizontal="right" vertical="center"/>
    </xf>
    <xf numFmtId="353" fontId="48" fillId="31" borderId="115" applyNumberFormat="0" applyProtection="0">
      <alignment horizontal="left" vertical="top" indent="1"/>
    </xf>
    <xf numFmtId="353" fontId="48" fillId="30" borderId="115" applyNumberFormat="0" applyProtection="0">
      <alignment horizontal="left" vertical="top" indent="1"/>
    </xf>
    <xf numFmtId="4" fontId="48" fillId="26" borderId="110" applyNumberFormat="0" applyProtection="0">
      <alignment horizontal="right" vertical="center"/>
    </xf>
    <xf numFmtId="353" fontId="48" fillId="32" borderId="115" applyNumberFormat="0" applyProtection="0">
      <alignment horizontal="left" vertical="top" indent="1"/>
    </xf>
    <xf numFmtId="353" fontId="4" fillId="32" borderId="115" applyNumberFormat="0" applyProtection="0">
      <alignment horizontal="left" vertical="center" indent="1"/>
    </xf>
    <xf numFmtId="4" fontId="48" fillId="0" borderId="110" applyNumberFormat="0" applyProtection="0">
      <alignment horizontal="right" vertical="center"/>
    </xf>
    <xf numFmtId="353" fontId="48" fillId="19" borderId="115" applyNumberFormat="0" applyProtection="0">
      <alignment horizontal="left" vertical="top" indent="1"/>
    </xf>
    <xf numFmtId="353" fontId="248" fillId="128" borderId="110" applyNumberFormat="0" applyAlignment="0" applyProtection="0"/>
    <xf numFmtId="353" fontId="137" fillId="14" borderId="110" applyNumberFormat="0" applyAlignment="0" applyProtection="0"/>
    <xf numFmtId="4" fontId="48" fillId="45" borderId="110" applyNumberFormat="0" applyProtection="0">
      <alignment horizontal="left" vertical="center" indent="1"/>
    </xf>
    <xf numFmtId="4" fontId="252" fillId="61" borderId="115" applyNumberFormat="0" applyProtection="0">
      <alignment horizontal="left" vertical="center" indent="1"/>
    </xf>
    <xf numFmtId="4" fontId="48" fillId="28" borderId="110" applyNumberFormat="0" applyProtection="0">
      <alignment horizontal="right" vertical="center"/>
    </xf>
    <xf numFmtId="4" fontId="250" fillId="50" borderId="110" applyNumberFormat="0" applyProtection="0">
      <alignment horizontal="right" vertical="center"/>
    </xf>
    <xf numFmtId="353" fontId="48" fillId="13" borderId="110" applyNumberFormat="0" applyFont="0" applyAlignment="0" applyProtection="0"/>
    <xf numFmtId="353" fontId="137" fillId="14" borderId="110" applyNumberFormat="0" applyAlignment="0" applyProtection="0"/>
    <xf numFmtId="353" fontId="48" fillId="13" borderId="110" applyNumberFormat="0" applyFont="0" applyAlignment="0" applyProtection="0"/>
    <xf numFmtId="4" fontId="254" fillId="33" borderId="110" applyNumberFormat="0" applyProtection="0">
      <alignment horizontal="right" vertical="center"/>
    </xf>
    <xf numFmtId="353" fontId="248" fillId="128" borderId="110"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4" fontId="48" fillId="0" borderId="110" applyNumberFormat="0" applyProtection="0">
      <alignment horizontal="right" vertical="center"/>
    </xf>
    <xf numFmtId="164" fontId="7" fillId="0" borderId="0" applyFont="0" applyFill="0" applyBorder="0" applyAlignment="0" applyProtection="0"/>
    <xf numFmtId="353" fontId="48" fillId="13" borderId="110" applyNumberFormat="0" applyFont="0" applyAlignment="0" applyProtection="0"/>
    <xf numFmtId="353" fontId="248" fillId="128" borderId="110" applyNumberFormat="0" applyAlignment="0" applyProtection="0"/>
    <xf numFmtId="353" fontId="252" fillId="34" borderId="115" applyNumberFormat="0" applyProtection="0">
      <alignment horizontal="left" vertical="top" indent="1"/>
    </xf>
    <xf numFmtId="353" fontId="4" fillId="30" borderId="115" applyNumberFormat="0" applyProtection="0">
      <alignment horizontal="left" vertical="center" indent="1"/>
    </xf>
    <xf numFmtId="4" fontId="254" fillId="33" borderId="110" applyNumberFormat="0" applyProtection="0">
      <alignment horizontal="right" vertical="center"/>
    </xf>
    <xf numFmtId="353" fontId="48" fillId="30" borderId="110" applyNumberFormat="0" applyProtection="0">
      <alignment horizontal="left" vertical="center" indent="1"/>
    </xf>
    <xf numFmtId="353" fontId="48" fillId="83" borderId="110" applyNumberFormat="0" applyProtection="0">
      <alignment horizontal="left" vertical="center" indent="1"/>
    </xf>
    <xf numFmtId="4" fontId="48" fillId="20" borderId="110" applyNumberFormat="0" applyProtection="0">
      <alignment horizontal="right" vertical="center"/>
    </xf>
    <xf numFmtId="353" fontId="48" fillId="19" borderId="115" applyNumberFormat="0" applyProtection="0">
      <alignment horizontal="left" vertical="top" indent="1"/>
    </xf>
    <xf numFmtId="353" fontId="48" fillId="83" borderId="110" applyNumberFormat="0" applyProtection="0">
      <alignment horizontal="left" vertical="center" indent="1"/>
    </xf>
    <xf numFmtId="353" fontId="48" fillId="13" borderId="110" applyNumberFormat="0" applyFont="0" applyAlignment="0" applyProtection="0"/>
    <xf numFmtId="353" fontId="48" fillId="31" borderId="115" applyNumberFormat="0" applyProtection="0">
      <alignment horizontal="left" vertical="top" indent="1"/>
    </xf>
    <xf numFmtId="353" fontId="48" fillId="30" borderId="115" applyNumberFormat="0" applyProtection="0">
      <alignment horizontal="left" vertical="top" indent="1"/>
    </xf>
    <xf numFmtId="353" fontId="48" fillId="13" borderId="110" applyNumberFormat="0" applyFont="0" applyAlignment="0" applyProtection="0"/>
    <xf numFmtId="4" fontId="48" fillId="23" borderId="110" applyNumberFormat="0" applyProtection="0">
      <alignment horizontal="right" vertical="center"/>
    </xf>
    <xf numFmtId="353" fontId="48" fillId="32" borderId="110" applyNumberFormat="0" applyProtection="0">
      <alignment horizontal="left" vertical="center" indent="1"/>
    </xf>
    <xf numFmtId="353" fontId="48" fillId="30" borderId="115" applyNumberFormat="0" applyProtection="0">
      <alignment horizontal="left" vertical="top" indent="1"/>
    </xf>
    <xf numFmtId="4" fontId="48" fillId="19" borderId="110" applyNumberFormat="0" applyProtection="0">
      <alignment horizontal="right" vertical="center"/>
    </xf>
    <xf numFmtId="353" fontId="252" fillId="34" borderId="115" applyNumberFormat="0" applyProtection="0">
      <alignment horizontal="left" vertical="top" indent="1"/>
    </xf>
    <xf numFmtId="353" fontId="10" fillId="0" borderId="119" applyNumberFormat="0" applyFill="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31" borderId="115" applyNumberFormat="0" applyProtection="0">
      <alignment horizontal="left" vertical="top" indent="1"/>
    </xf>
    <xf numFmtId="353" fontId="48" fillId="30" borderId="115" applyNumberFormat="0" applyProtection="0">
      <alignment horizontal="left" vertical="top" indent="1"/>
    </xf>
    <xf numFmtId="37" fontId="59" fillId="0" borderId="118" applyNumberFormat="0"/>
    <xf numFmtId="353" fontId="48" fillId="19" borderId="115" applyNumberFormat="0" applyProtection="0">
      <alignment horizontal="left" vertical="top" indent="1"/>
    </xf>
    <xf numFmtId="353" fontId="48" fillId="13" borderId="110" applyNumberFormat="0" applyFont="0" applyAlignment="0" applyProtection="0"/>
    <xf numFmtId="353" fontId="48" fillId="30" borderId="115" applyNumberFormat="0" applyProtection="0">
      <alignment horizontal="left" vertical="top" indent="1"/>
    </xf>
    <xf numFmtId="353" fontId="248" fillId="128" borderId="110" applyNumberFormat="0" applyAlignment="0" applyProtection="0"/>
    <xf numFmtId="353" fontId="48" fillId="31" borderId="115" applyNumberFormat="0" applyProtection="0">
      <alignment horizontal="left" vertical="top" indent="1"/>
    </xf>
    <xf numFmtId="353" fontId="48" fillId="32" borderId="115" applyNumberFormat="0" applyProtection="0">
      <alignment horizontal="left" vertical="top" indent="1"/>
    </xf>
    <xf numFmtId="4" fontId="252" fillId="34" borderId="115" applyNumberFormat="0" applyProtection="0">
      <alignment vertical="center"/>
    </xf>
    <xf numFmtId="37" fontId="59" fillId="0" borderId="118" applyNumberFormat="0"/>
    <xf numFmtId="353" fontId="48" fillId="13" borderId="110" applyNumberFormat="0" applyFont="0" applyAlignment="0" applyProtection="0"/>
    <xf numFmtId="353" fontId="48" fillId="31" borderId="115" applyNumberFormat="0" applyProtection="0">
      <alignment horizontal="left" vertical="top" indent="1"/>
    </xf>
    <xf numFmtId="4" fontId="48" fillId="20" borderId="110" applyNumberFormat="0" applyProtection="0">
      <alignment horizontal="right" vertical="center"/>
    </xf>
    <xf numFmtId="353" fontId="137" fillId="14" borderId="110" applyNumberFormat="0" applyAlignment="0" applyProtection="0"/>
    <xf numFmtId="4" fontId="250" fillId="50" borderId="110" applyNumberFormat="0" applyProtection="0">
      <alignment horizontal="right" vertical="center"/>
    </xf>
    <xf numFmtId="353" fontId="48" fillId="31" borderId="115" applyNumberFormat="0" applyProtection="0">
      <alignment horizontal="left" vertical="top" indent="1"/>
    </xf>
    <xf numFmtId="4" fontId="253" fillId="35" borderId="116" applyNumberFormat="0" applyProtection="0">
      <alignment horizontal="left" vertical="center"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4" fontId="48" fillId="30" borderId="116" applyNumberFormat="0" applyProtection="0">
      <alignment horizontal="left" vertical="center" indent="1"/>
    </xf>
    <xf numFmtId="353" fontId="252" fillId="34" borderId="115" applyNumberFormat="0" applyProtection="0">
      <alignment horizontal="left" vertical="top" indent="1"/>
    </xf>
    <xf numFmtId="353" fontId="48" fillId="31" borderId="115" applyNumberFormat="0" applyProtection="0">
      <alignment horizontal="left" vertical="top" indent="1"/>
    </xf>
    <xf numFmtId="4" fontId="48" fillId="18" borderId="110" applyNumberFormat="0" applyProtection="0">
      <alignment vertical="center"/>
    </xf>
    <xf numFmtId="4" fontId="48" fillId="64" borderId="110" applyNumberFormat="0" applyProtection="0">
      <alignment horizontal="left" vertical="center" indent="1"/>
    </xf>
    <xf numFmtId="4" fontId="4" fillId="31" borderId="116" applyNumberFormat="0" applyProtection="0">
      <alignment horizontal="left" vertical="center" indent="1"/>
    </xf>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30" borderId="115" applyNumberFormat="0" applyProtection="0">
      <alignment horizontal="left" vertical="top" indent="1"/>
    </xf>
    <xf numFmtId="4" fontId="252" fillId="61" borderId="115" applyNumberFormat="0" applyProtection="0">
      <alignment horizontal="left" vertical="center" indent="1"/>
    </xf>
    <xf numFmtId="4" fontId="250" fillId="50" borderId="110" applyNumberFormat="0" applyProtection="0">
      <alignment horizontal="right" vertical="center"/>
    </xf>
    <xf numFmtId="353" fontId="48" fillId="13" borderId="110" applyNumberFormat="0" applyFont="0" applyAlignment="0" applyProtection="0"/>
    <xf numFmtId="353" fontId="48" fillId="30" borderId="115" applyNumberFormat="0" applyProtection="0">
      <alignment horizontal="left" vertical="top" indent="1"/>
    </xf>
    <xf numFmtId="353" fontId="48" fillId="19" borderId="115" applyNumberFormat="0" applyProtection="0">
      <alignment horizontal="left" vertical="top" indent="1"/>
    </xf>
    <xf numFmtId="4" fontId="254" fillId="33" borderId="110" applyNumberFormat="0" applyProtection="0">
      <alignment horizontal="right" vertical="center"/>
    </xf>
    <xf numFmtId="37" fontId="59" fillId="0" borderId="118" applyNumberFormat="0"/>
    <xf numFmtId="353" fontId="10" fillId="0" borderId="119" applyNumberFormat="0" applyFill="0" applyAlignment="0" applyProtection="0"/>
    <xf numFmtId="353" fontId="10" fillId="0" borderId="119" applyNumberFormat="0" applyFill="0" applyAlignment="0" applyProtection="0"/>
    <xf numFmtId="353" fontId="48" fillId="30" borderId="110" applyNumberFormat="0" applyProtection="0">
      <alignment horizontal="left" vertical="center" indent="1"/>
    </xf>
    <xf numFmtId="353" fontId="248" fillId="128" borderId="110" applyNumberFormat="0" applyAlignment="0" applyProtection="0"/>
    <xf numFmtId="353" fontId="248" fillId="128" borderId="110" applyNumberFormat="0" applyAlignment="0" applyProtection="0"/>
    <xf numFmtId="210" fontId="59" fillId="0" borderId="29" applyFill="0"/>
    <xf numFmtId="4" fontId="48" fillId="0" borderId="110" applyNumberFormat="0" applyProtection="0">
      <alignment horizontal="right" vertical="center"/>
    </xf>
    <xf numFmtId="4" fontId="250" fillId="50" borderId="110" applyNumberFormat="0" applyProtection="0">
      <alignment horizontal="right" vertical="center"/>
    </xf>
    <xf numFmtId="4" fontId="48" fillId="64" borderId="110" applyNumberFormat="0" applyProtection="0">
      <alignment horizontal="left" vertical="center" indent="1"/>
    </xf>
    <xf numFmtId="4" fontId="254" fillId="33" borderId="110" applyNumberFormat="0" applyProtection="0">
      <alignment horizontal="right" vertical="center"/>
    </xf>
    <xf numFmtId="353" fontId="48" fillId="32" borderId="115" applyNumberFormat="0" applyProtection="0">
      <alignment horizontal="left" vertical="top" indent="1"/>
    </xf>
    <xf numFmtId="4" fontId="252" fillId="61" borderId="115" applyNumberFormat="0" applyProtection="0">
      <alignment horizontal="left" vertical="center" indent="1"/>
    </xf>
    <xf numFmtId="4" fontId="252" fillId="34" borderId="115" applyNumberFormat="0" applyProtection="0">
      <alignment vertical="center"/>
    </xf>
    <xf numFmtId="353" fontId="4" fillId="32" borderId="115" applyNumberFormat="0" applyProtection="0">
      <alignment horizontal="left" vertical="top" indent="1"/>
    </xf>
    <xf numFmtId="353" fontId="48" fillId="32" borderId="110" applyNumberFormat="0" applyProtection="0">
      <alignment horizontal="left" vertical="center" indent="1"/>
    </xf>
    <xf numFmtId="353" fontId="48" fillId="31" borderId="115" applyNumberFormat="0" applyProtection="0">
      <alignment horizontal="left" vertical="top" indent="1"/>
    </xf>
    <xf numFmtId="353" fontId="48" fillId="13" borderId="110" applyNumberFormat="0" applyFont="0" applyAlignment="0" applyProtection="0"/>
    <xf numFmtId="353" fontId="48" fillId="30" borderId="115" applyNumberFormat="0" applyProtection="0">
      <alignment horizontal="left" vertical="top" indent="1"/>
    </xf>
    <xf numFmtId="353" fontId="48" fillId="19" borderId="115" applyNumberFormat="0" applyProtection="0">
      <alignment horizontal="left" vertical="top" indent="1"/>
    </xf>
    <xf numFmtId="353" fontId="248" fillId="128" borderId="110" applyNumberFormat="0" applyAlignment="0" applyProtection="0"/>
    <xf numFmtId="353" fontId="10" fillId="0" borderId="119" applyNumberFormat="0" applyFill="0" applyAlignment="0" applyProtection="0"/>
    <xf numFmtId="353" fontId="10" fillId="0" borderId="119" applyNumberFormat="0" applyFill="0" applyAlignment="0" applyProtection="0"/>
    <xf numFmtId="37" fontId="59" fillId="0" borderId="118" applyNumberFormat="0"/>
    <xf numFmtId="4" fontId="254" fillId="33" borderId="110" applyNumberFormat="0" applyProtection="0">
      <alignment horizontal="right" vertical="center"/>
    </xf>
    <xf numFmtId="4" fontId="253" fillId="35" borderId="116" applyNumberFormat="0" applyProtection="0">
      <alignment horizontal="left" vertical="center" indent="1"/>
    </xf>
    <xf numFmtId="353" fontId="252" fillId="19" borderId="115" applyNumberFormat="0" applyProtection="0">
      <alignment horizontal="left" vertical="top" indent="1"/>
    </xf>
    <xf numFmtId="4" fontId="48" fillId="64" borderId="110" applyNumberFormat="0" applyProtection="0">
      <alignment horizontal="left" vertical="center" indent="1"/>
    </xf>
    <xf numFmtId="4" fontId="250" fillId="50" borderId="110" applyNumberFormat="0" applyProtection="0">
      <alignment horizontal="right" vertical="center"/>
    </xf>
    <xf numFmtId="4" fontId="48" fillId="0" borderId="110" applyNumberFormat="0" applyProtection="0">
      <alignment horizontal="right" vertical="center"/>
    </xf>
    <xf numFmtId="353" fontId="252" fillId="34"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 fillId="30"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center"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center" indent="1"/>
    </xf>
    <xf numFmtId="353" fontId="48" fillId="83" borderId="110"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353" fontId="48" fillId="61" borderId="110" applyNumberFormat="0" applyProtection="0">
      <alignment horizontal="left" vertical="center" indent="1"/>
    </xf>
    <xf numFmtId="4" fontId="48" fillId="19" borderId="116" applyNumberFormat="0" applyProtection="0">
      <alignment horizontal="left" vertical="center" indent="1"/>
    </xf>
    <xf numFmtId="4" fontId="48" fillId="30" borderId="116" applyNumberFormat="0" applyProtection="0">
      <alignment horizontal="left" vertical="center" indent="1"/>
    </xf>
    <xf numFmtId="4" fontId="48" fillId="19" borderId="110" applyNumberFormat="0" applyProtection="0">
      <alignment horizontal="right" vertical="center"/>
    </xf>
    <xf numFmtId="4" fontId="4" fillId="31" borderId="116" applyNumberFormat="0" applyProtection="0">
      <alignment horizontal="left" vertical="center" indent="1"/>
    </xf>
    <xf numFmtId="4" fontId="4" fillId="31" borderId="116" applyNumberFormat="0" applyProtection="0">
      <alignment horizontal="left" vertical="center" indent="1"/>
    </xf>
    <xf numFmtId="4" fontId="48" fillId="29" borderId="116" applyNumberFormat="0" applyProtection="0">
      <alignment horizontal="left" vertical="center" indent="1"/>
    </xf>
    <xf numFmtId="4" fontId="48" fillId="28" borderId="110" applyNumberFormat="0" applyProtection="0">
      <alignment horizontal="right" vertical="center"/>
    </xf>
    <xf numFmtId="4" fontId="48" fillId="27" borderId="110" applyNumberFormat="0" applyProtection="0">
      <alignment horizontal="right" vertical="center"/>
    </xf>
    <xf numFmtId="4" fontId="48" fillId="26" borderId="110" applyNumberFormat="0" applyProtection="0">
      <alignment horizontal="right" vertical="center"/>
    </xf>
    <xf numFmtId="4" fontId="48" fillId="25" borderId="110" applyNumberFormat="0" applyProtection="0">
      <alignment horizontal="right" vertical="center"/>
    </xf>
    <xf numFmtId="4" fontId="48" fillId="24" borderId="110" applyNumberFormat="0" applyProtection="0">
      <alignment horizontal="right" vertical="center"/>
    </xf>
    <xf numFmtId="4" fontId="48" fillId="23" borderId="110" applyNumberFormat="0" applyProtection="0">
      <alignment horizontal="right" vertical="center"/>
    </xf>
    <xf numFmtId="4" fontId="48" fillId="22" borderId="116" applyNumberFormat="0" applyProtection="0">
      <alignment horizontal="right" vertical="center"/>
    </xf>
    <xf numFmtId="4" fontId="48" fillId="131" borderId="110" applyNumberFormat="0" applyProtection="0">
      <alignment horizontal="right" vertical="center"/>
    </xf>
    <xf numFmtId="4" fontId="48" fillId="20" borderId="110" applyNumberFormat="0" applyProtection="0">
      <alignment horizontal="right" vertical="center"/>
    </xf>
    <xf numFmtId="4" fontId="48" fillId="64" borderId="110" applyNumberFormat="0" applyProtection="0">
      <alignment horizontal="left" vertical="center" indent="1"/>
    </xf>
    <xf numFmtId="353" fontId="251" fillId="18" borderId="115" applyNumberFormat="0" applyProtection="0">
      <alignment horizontal="left" vertical="top" indent="1"/>
    </xf>
    <xf numFmtId="4" fontId="48" fillId="45" borderId="110" applyNumberFormat="0" applyProtection="0">
      <alignment horizontal="left" vertical="center" indent="1"/>
    </xf>
    <xf numFmtId="4" fontId="250" fillId="45" borderId="110" applyNumberFormat="0" applyProtection="0">
      <alignment vertical="center"/>
    </xf>
    <xf numFmtId="4" fontId="48" fillId="18" borderId="110" applyNumberFormat="0" applyProtection="0">
      <alignment vertical="center"/>
    </xf>
    <xf numFmtId="353" fontId="179" fillId="128" borderId="114" applyNumberFormat="0" applyAlignment="0" applyProtection="0"/>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37" fillId="14" borderId="110" applyNumberFormat="0" applyAlignment="0" applyProtection="0"/>
    <xf numFmtId="353" fontId="137" fillId="14" borderId="110" applyNumberFormat="0" applyAlignment="0" applyProtection="0"/>
    <xf numFmtId="353" fontId="248" fillId="128" borderId="110" applyNumberFormat="0" applyAlignment="0" applyProtection="0"/>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 fillId="19" borderId="115" applyNumberFormat="0" applyProtection="0">
      <alignment horizontal="left" vertical="top" indent="1"/>
    </xf>
    <xf numFmtId="353" fontId="48" fillId="31" borderId="115" applyNumberFormat="0" applyProtection="0">
      <alignment horizontal="left" vertical="top" indent="1"/>
    </xf>
    <xf numFmtId="353" fontId="88" fillId="31" borderId="117" applyBorder="0"/>
    <xf numFmtId="353" fontId="48" fillId="13" borderId="110" applyNumberFormat="0" applyFont="0" applyAlignment="0" applyProtection="0"/>
    <xf numFmtId="353" fontId="48" fillId="30" borderId="115" applyNumberFormat="0" applyProtection="0">
      <alignment horizontal="left" vertical="top" indent="1"/>
    </xf>
    <xf numFmtId="353" fontId="4" fillId="30" borderId="115" applyNumberFormat="0" applyProtection="0">
      <alignment horizontal="left" vertical="center"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4" fillId="30" borderId="115" applyNumberFormat="0" applyProtection="0">
      <alignment horizontal="left" vertical="top" indent="1"/>
    </xf>
    <xf numFmtId="4" fontId="250" fillId="50" borderId="110" applyNumberFormat="0" applyProtection="0">
      <alignment horizontal="right" vertical="center"/>
    </xf>
    <xf numFmtId="4" fontId="48" fillId="64" borderId="110" applyNumberFormat="0" applyProtection="0">
      <alignment horizontal="left" vertical="center" indent="1"/>
    </xf>
    <xf numFmtId="353" fontId="252" fillId="19" borderId="115" applyNumberFormat="0" applyProtection="0">
      <alignment horizontal="left" vertical="top" indent="1"/>
    </xf>
    <xf numFmtId="4" fontId="253" fillId="35" borderId="116" applyNumberFormat="0" applyProtection="0">
      <alignment horizontal="left" vertical="center" indent="1"/>
    </xf>
    <xf numFmtId="37" fontId="59" fillId="0" borderId="118" applyNumberFormat="0"/>
    <xf numFmtId="353" fontId="10" fillId="0" borderId="119" applyNumberFormat="0" applyFill="0" applyAlignment="0" applyProtection="0"/>
    <xf numFmtId="353" fontId="48" fillId="32" borderId="115" applyNumberFormat="0" applyProtection="0">
      <alignment horizontal="left" vertical="top" indent="1"/>
    </xf>
    <xf numFmtId="353" fontId="48" fillId="19" borderId="115" applyNumberFormat="0" applyProtection="0">
      <alignment horizontal="left" vertical="top" indent="1"/>
    </xf>
    <xf numFmtId="4" fontId="48" fillId="23" borderId="110" applyNumberFormat="0" applyProtection="0">
      <alignment horizontal="right" vertical="center"/>
    </xf>
    <xf numFmtId="353" fontId="48" fillId="83" borderId="110" applyNumberFormat="0" applyProtection="0">
      <alignment horizontal="left" vertical="center"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4" fontId="48" fillId="64" borderId="110" applyNumberFormat="0" applyProtection="0">
      <alignment horizontal="left" vertical="center" indent="1"/>
    </xf>
    <xf numFmtId="353" fontId="48" fillId="30" borderId="110" applyNumberFormat="0" applyProtection="0">
      <alignment horizontal="left" vertical="center" indent="1"/>
    </xf>
    <xf numFmtId="210" fontId="59" fillId="0" borderId="29" applyFill="0"/>
    <xf numFmtId="4" fontId="252" fillId="34" borderId="115" applyNumberFormat="0" applyProtection="0">
      <alignment vertical="center"/>
    </xf>
    <xf numFmtId="353" fontId="10" fillId="0" borderId="119" applyNumberFormat="0" applyFill="0" applyAlignment="0" applyProtection="0"/>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353" fontId="48" fillId="61" borderId="110" applyNumberFormat="0" applyProtection="0">
      <alignment horizontal="left" vertical="center" indent="1"/>
    </xf>
    <xf numFmtId="4" fontId="48" fillId="26" borderId="110" applyNumberFormat="0" applyProtection="0">
      <alignment horizontal="right" vertical="center"/>
    </xf>
    <xf numFmtId="4" fontId="48" fillId="25" borderId="110" applyNumberFormat="0" applyProtection="0">
      <alignment horizontal="right" vertical="center"/>
    </xf>
    <xf numFmtId="4" fontId="48" fillId="24" borderId="110" applyNumberFormat="0" applyProtection="0">
      <alignment horizontal="right" vertical="center"/>
    </xf>
    <xf numFmtId="4" fontId="48" fillId="23" borderId="110" applyNumberFormat="0" applyProtection="0">
      <alignment horizontal="right" vertical="center"/>
    </xf>
    <xf numFmtId="4" fontId="48" fillId="18" borderId="110" applyNumberFormat="0" applyProtection="0">
      <alignment vertical="center"/>
    </xf>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137" fillId="14" borderId="110" applyNumberFormat="0" applyAlignment="0" applyProtection="0"/>
    <xf numFmtId="353" fontId="4" fillId="30" borderId="115" applyNumberFormat="0" applyProtection="0">
      <alignment horizontal="left" vertical="center" indent="1"/>
    </xf>
    <xf numFmtId="353" fontId="248" fillId="128" borderId="110" applyNumberFormat="0" applyAlignment="0" applyProtection="0"/>
    <xf numFmtId="353" fontId="48" fillId="30" borderId="110" applyNumberFormat="0" applyProtection="0">
      <alignment horizontal="left" vertical="center" indent="1"/>
    </xf>
    <xf numFmtId="353" fontId="48" fillId="32" borderId="115" applyNumberFormat="0" applyProtection="0">
      <alignment horizontal="left" vertical="top" indent="1"/>
    </xf>
    <xf numFmtId="37" fontId="59" fillId="0" borderId="118" applyNumberFormat="0"/>
    <xf numFmtId="353" fontId="48" fillId="13" borderId="110" applyNumberFormat="0" applyFont="0" applyAlignment="0" applyProtection="0"/>
    <xf numFmtId="4" fontId="253" fillId="35" borderId="116" applyNumberFormat="0" applyProtection="0">
      <alignment horizontal="left" vertical="center" indent="1"/>
    </xf>
    <xf numFmtId="164" fontId="7" fillId="0" borderId="0" applyFont="0" applyFill="0" applyBorder="0" applyAlignment="0" applyProtection="0"/>
    <xf numFmtId="353" fontId="48" fillId="13" borderId="110" applyNumberFormat="0" applyFont="0" applyAlignment="0" applyProtection="0"/>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4" fontId="252" fillId="34" borderId="115" applyNumberFormat="0" applyProtection="0">
      <alignment vertical="center"/>
    </xf>
    <xf numFmtId="4" fontId="254" fillId="33" borderId="110" applyNumberFormat="0" applyProtection="0">
      <alignment horizontal="right" vertical="center"/>
    </xf>
    <xf numFmtId="353" fontId="10" fillId="0" borderId="119" applyNumberFormat="0" applyFill="0" applyAlignment="0" applyProtection="0"/>
    <xf numFmtId="353" fontId="4" fillId="30" borderId="115" applyNumberFormat="0" applyProtection="0">
      <alignment horizontal="left" vertical="top" indent="1"/>
    </xf>
    <xf numFmtId="4" fontId="48" fillId="26" borderId="110" applyNumberFormat="0" applyProtection="0">
      <alignment horizontal="right" vertical="center"/>
    </xf>
    <xf numFmtId="4" fontId="254" fillId="33" borderId="110" applyNumberFormat="0" applyProtection="0">
      <alignment horizontal="right" vertical="center"/>
    </xf>
    <xf numFmtId="353" fontId="10" fillId="0" borderId="119" applyNumberFormat="0" applyFill="0" applyAlignment="0" applyProtection="0"/>
    <xf numFmtId="353" fontId="4" fillId="30" borderId="115" applyNumberFormat="0" applyProtection="0">
      <alignment horizontal="left" vertical="center" indent="1"/>
    </xf>
    <xf numFmtId="353" fontId="48" fillId="19" borderId="115" applyNumberFormat="0" applyProtection="0">
      <alignment horizontal="left" vertical="top" indent="1"/>
    </xf>
    <xf numFmtId="353" fontId="248" fillId="128" borderId="110" applyNumberFormat="0" applyAlignment="0" applyProtection="0"/>
    <xf numFmtId="4" fontId="48" fillId="24" borderId="110" applyNumberFormat="0" applyProtection="0">
      <alignment horizontal="right" vertical="center"/>
    </xf>
    <xf numFmtId="210" fontId="59" fillId="0" borderId="29" applyFill="0"/>
    <xf numFmtId="353" fontId="48" fillId="13" borderId="110" applyNumberFormat="0" applyFont="0" applyAlignment="0" applyProtection="0"/>
    <xf numFmtId="353" fontId="252" fillId="34" borderId="115" applyNumberFormat="0" applyProtection="0">
      <alignment horizontal="left" vertical="top" indent="1"/>
    </xf>
    <xf numFmtId="4" fontId="252" fillId="34" borderId="115" applyNumberFormat="0" applyProtection="0">
      <alignment vertical="center"/>
    </xf>
    <xf numFmtId="353" fontId="48" fillId="13" borderId="110" applyNumberFormat="0" applyFont="0" applyAlignment="0" applyProtection="0"/>
    <xf numFmtId="353" fontId="48" fillId="13" borderId="110" applyNumberFormat="0" applyFont="0" applyAlignment="0" applyProtection="0"/>
    <xf numFmtId="353" fontId="251" fillId="18" borderId="115" applyNumberFormat="0" applyProtection="0">
      <alignment horizontal="left" vertical="top" indent="1"/>
    </xf>
    <xf numFmtId="4" fontId="48" fillId="25" borderId="110" applyNumberFormat="0" applyProtection="0">
      <alignment horizontal="right" vertical="center"/>
    </xf>
    <xf numFmtId="4" fontId="48" fillId="19" borderId="110" applyNumberFormat="0" applyProtection="0">
      <alignment horizontal="right" vertical="center"/>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 fillId="32" borderId="115" applyNumberFormat="0" applyProtection="0">
      <alignment horizontal="left" vertical="center" indent="1"/>
    </xf>
    <xf numFmtId="353" fontId="137" fillId="14" borderId="110" applyNumberFormat="0" applyAlignment="0" applyProtection="0"/>
    <xf numFmtId="37" fontId="59" fillId="0" borderId="118" applyNumberFormat="0"/>
    <xf numFmtId="353" fontId="48" fillId="30" borderId="110" applyNumberFormat="0" applyProtection="0">
      <alignment horizontal="left" vertical="center"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 fillId="19" borderId="115" applyNumberFormat="0" applyProtection="0">
      <alignment horizontal="left" vertical="top" indent="1"/>
    </xf>
    <xf numFmtId="353" fontId="48" fillId="31" borderId="115" applyNumberFormat="0" applyProtection="0">
      <alignment horizontal="left" vertical="top" indent="1"/>
    </xf>
    <xf numFmtId="4" fontId="48" fillId="29" borderId="116" applyNumberFormat="0" applyProtection="0">
      <alignment horizontal="left" vertical="center" indent="1"/>
    </xf>
    <xf numFmtId="353" fontId="137" fillId="14" borderId="110" applyNumberFormat="0" applyAlignment="0" applyProtection="0"/>
    <xf numFmtId="4" fontId="250" fillId="50" borderId="110" applyNumberFormat="0" applyProtection="0">
      <alignment horizontal="right" vertical="center"/>
    </xf>
    <xf numFmtId="4" fontId="252" fillId="34" borderId="115" applyNumberFormat="0" applyProtection="0">
      <alignment vertical="center"/>
    </xf>
    <xf numFmtId="353" fontId="48" fillId="30" borderId="115" applyNumberFormat="0" applyProtection="0">
      <alignment horizontal="left" vertical="top" indent="1"/>
    </xf>
    <xf numFmtId="4" fontId="252" fillId="61" borderId="115" applyNumberFormat="0" applyProtection="0">
      <alignment horizontal="left" vertical="center" indent="1"/>
    </xf>
    <xf numFmtId="353" fontId="4" fillId="30" borderId="115" applyNumberFormat="0" applyProtection="0">
      <alignment horizontal="left" vertical="center" indent="1"/>
    </xf>
    <xf numFmtId="4" fontId="48" fillId="64" borderId="110" applyNumberFormat="0" applyProtection="0">
      <alignment horizontal="left" vertical="center" indent="1"/>
    </xf>
    <xf numFmtId="353" fontId="48" fillId="32" borderId="110" applyNumberFormat="0" applyProtection="0">
      <alignment horizontal="left" vertical="center"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 fillId="32" borderId="115" applyNumberFormat="0" applyProtection="0">
      <alignment horizontal="left" vertical="top" indent="1"/>
    </xf>
    <xf numFmtId="353" fontId="48" fillId="19" borderId="115" applyNumberFormat="0" applyProtection="0">
      <alignment horizontal="left" vertical="top" indent="1"/>
    </xf>
    <xf numFmtId="353" fontId="4" fillId="19" borderId="115" applyNumberFormat="0" applyProtection="0">
      <alignment horizontal="left" vertical="center" indent="1"/>
    </xf>
    <xf numFmtId="353" fontId="48" fillId="31" borderId="115" applyNumberFormat="0" applyProtection="0">
      <alignment horizontal="left" vertical="top" indent="1"/>
    </xf>
    <xf numFmtId="353" fontId="48" fillId="83" borderId="110" applyNumberFormat="0" applyProtection="0">
      <alignment horizontal="left" vertical="center" indent="1"/>
    </xf>
    <xf numFmtId="4" fontId="48" fillId="27" borderId="110" applyNumberFormat="0" applyProtection="0">
      <alignment horizontal="right" vertical="center"/>
    </xf>
    <xf numFmtId="4" fontId="48" fillId="30" borderId="116" applyNumberFormat="0" applyProtection="0">
      <alignment horizontal="left" vertical="center" indent="1"/>
    </xf>
    <xf numFmtId="4" fontId="48" fillId="64" borderId="110" applyNumberFormat="0" applyProtection="0">
      <alignment horizontal="left" vertical="center" indent="1"/>
    </xf>
    <xf numFmtId="4" fontId="48" fillId="27" borderId="110" applyNumberFormat="0" applyProtection="0">
      <alignment horizontal="right" vertical="center"/>
    </xf>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137" fillId="14" borderId="110" applyNumberFormat="0" applyAlignment="0" applyProtection="0"/>
    <xf numFmtId="353" fontId="48" fillId="13" borderId="110" applyNumberFormat="0" applyFont="0" applyAlignment="0" applyProtection="0"/>
    <xf numFmtId="4" fontId="250" fillId="45" borderId="110" applyNumberFormat="0" applyProtection="0">
      <alignment vertical="center"/>
    </xf>
    <xf numFmtId="4" fontId="48" fillId="25" borderId="110" applyNumberFormat="0" applyProtection="0">
      <alignment horizontal="right" vertical="center"/>
    </xf>
    <xf numFmtId="4" fontId="48" fillId="19" borderId="116" applyNumberFormat="0" applyProtection="0">
      <alignment horizontal="left" vertical="center"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164" fontId="7" fillId="0" borderId="0" applyFont="0" applyFill="0" applyBorder="0" applyAlignment="0" applyProtection="0"/>
    <xf numFmtId="4" fontId="48" fillId="23" borderId="110" applyNumberFormat="0" applyProtection="0">
      <alignment horizontal="right" vertical="center"/>
    </xf>
    <xf numFmtId="164" fontId="7" fillId="0" borderId="0" applyFont="0" applyFill="0" applyBorder="0" applyAlignment="0" applyProtection="0"/>
    <xf numFmtId="353" fontId="48" fillId="13" borderId="110" applyNumberFormat="0" applyFont="0" applyAlignment="0" applyProtection="0"/>
    <xf numFmtId="4" fontId="48" fillId="18" borderId="110" applyNumberFormat="0" applyProtection="0">
      <alignment vertical="center"/>
    </xf>
    <xf numFmtId="4" fontId="250" fillId="45" borderId="110" applyNumberFormat="0" applyProtection="0">
      <alignment vertical="center"/>
    </xf>
    <xf numFmtId="4" fontId="48" fillId="25" borderId="110" applyNumberFormat="0" applyProtection="0">
      <alignment horizontal="right" vertical="center"/>
    </xf>
    <xf numFmtId="4" fontId="48" fillId="29" borderId="116" applyNumberFormat="0" applyProtection="0">
      <alignment horizontal="left" vertical="center" indent="1"/>
    </xf>
    <xf numFmtId="4" fontId="48" fillId="131" borderId="110" applyNumberFormat="0" applyProtection="0">
      <alignment horizontal="right" vertical="center"/>
    </xf>
    <xf numFmtId="4" fontId="48" fillId="19" borderId="110" applyNumberFormat="0" applyProtection="0">
      <alignment horizontal="right" vertical="center"/>
    </xf>
    <xf numFmtId="353" fontId="48" fillId="61" borderId="110" applyNumberFormat="0" applyProtection="0">
      <alignment horizontal="left" vertical="center" indent="1"/>
    </xf>
    <xf numFmtId="210" fontId="59" fillId="0" borderId="29" applyFill="0"/>
    <xf numFmtId="353" fontId="48" fillId="32" borderId="115" applyNumberFormat="0" applyProtection="0">
      <alignment horizontal="left" vertical="top" indent="1"/>
    </xf>
    <xf numFmtId="4" fontId="48" fillId="19" borderId="110" applyNumberFormat="0" applyProtection="0">
      <alignment horizontal="right" vertical="center"/>
    </xf>
    <xf numFmtId="353" fontId="179" fillId="128" borderId="114" applyNumberFormat="0" applyAlignment="0" applyProtection="0"/>
    <xf numFmtId="353" fontId="48" fillId="13" borderId="110" applyNumberFormat="0" applyFont="0" applyAlignment="0" applyProtection="0"/>
    <xf numFmtId="353" fontId="179" fillId="128" borderId="114" applyNumberFormat="0" applyAlignment="0" applyProtection="0"/>
    <xf numFmtId="353" fontId="48" fillId="61" borderId="110" applyNumberFormat="0" applyProtection="0">
      <alignment horizontal="left" vertical="center"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center" indent="1"/>
    </xf>
    <xf numFmtId="4" fontId="48" fillId="27" borderId="110" applyNumberFormat="0" applyProtection="0">
      <alignment horizontal="right" vertical="center"/>
    </xf>
    <xf numFmtId="353" fontId="251" fillId="18" borderId="115" applyNumberFormat="0" applyProtection="0">
      <alignment horizontal="left" vertical="top" indent="1"/>
    </xf>
    <xf numFmtId="353" fontId="48" fillId="13" borderId="110" applyNumberFormat="0" applyFont="0" applyAlignment="0" applyProtection="0"/>
    <xf numFmtId="353" fontId="137" fillId="14" borderId="110"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4" fontId="48" fillId="131" borderId="110" applyNumberFormat="0" applyProtection="0">
      <alignment horizontal="right" vertical="center"/>
    </xf>
    <xf numFmtId="4" fontId="48" fillId="45" borderId="110" applyNumberFormat="0" applyProtection="0">
      <alignment horizontal="left" vertical="center" indent="1"/>
    </xf>
    <xf numFmtId="4" fontId="4" fillId="31" borderId="116" applyNumberFormat="0" applyProtection="0">
      <alignment horizontal="left" vertical="center" indent="1"/>
    </xf>
    <xf numFmtId="4" fontId="48" fillId="25" borderId="110" applyNumberFormat="0" applyProtection="0">
      <alignment horizontal="right" vertical="center"/>
    </xf>
    <xf numFmtId="4" fontId="48" fillId="23" borderId="110" applyNumberFormat="0" applyProtection="0">
      <alignment horizontal="right" vertical="center"/>
    </xf>
    <xf numFmtId="353" fontId="48" fillId="31" borderId="115" applyNumberFormat="0" applyProtection="0">
      <alignment horizontal="left" vertical="top" indent="1"/>
    </xf>
    <xf numFmtId="353" fontId="248" fillId="128" borderId="110" applyNumberFormat="0" applyAlignment="0" applyProtection="0"/>
    <xf numFmtId="353" fontId="48" fillId="19" borderId="115" applyNumberFormat="0" applyProtection="0">
      <alignment horizontal="left" vertical="top"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 fillId="30" borderId="115" applyNumberFormat="0" applyProtection="0">
      <alignment horizontal="left" vertical="top" indent="1"/>
    </xf>
    <xf numFmtId="353" fontId="48" fillId="30" borderId="115" applyNumberFormat="0" applyProtection="0">
      <alignment horizontal="left" vertical="top" indent="1"/>
    </xf>
    <xf numFmtId="4" fontId="48" fillId="0" borderId="110" applyNumberFormat="0" applyProtection="0">
      <alignment horizontal="right" vertical="center"/>
    </xf>
    <xf numFmtId="353" fontId="10" fillId="0" borderId="119" applyNumberFormat="0" applyFill="0" applyAlignment="0" applyProtection="0"/>
    <xf numFmtId="353" fontId="88" fillId="31" borderId="117" applyBorder="0"/>
    <xf numFmtId="353" fontId="48" fillId="30" borderId="115" applyNumberFormat="0" applyProtection="0">
      <alignment horizontal="left" vertical="top" indent="1"/>
    </xf>
    <xf numFmtId="353" fontId="48" fillId="30" borderId="115" applyNumberFormat="0" applyProtection="0">
      <alignment horizontal="left" vertical="top" indent="1"/>
    </xf>
    <xf numFmtId="210" fontId="59" fillId="0" borderId="29" applyFill="0"/>
    <xf numFmtId="353" fontId="48" fillId="30" borderId="115" applyNumberFormat="0" applyProtection="0">
      <alignment horizontal="left" vertical="top" indent="1"/>
    </xf>
    <xf numFmtId="4" fontId="48" fillId="27" borderId="110" applyNumberFormat="0" applyProtection="0">
      <alignment horizontal="right" vertical="center"/>
    </xf>
    <xf numFmtId="4" fontId="48" fillId="19" borderId="116" applyNumberFormat="0" applyProtection="0">
      <alignment horizontal="left" vertical="center" indent="1"/>
    </xf>
    <xf numFmtId="353" fontId="48" fillId="31" borderId="115" applyNumberFormat="0" applyProtection="0">
      <alignment horizontal="left" vertical="top" indent="1"/>
    </xf>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4" fontId="253" fillId="35" borderId="116" applyNumberFormat="0" applyProtection="0">
      <alignment horizontal="left" vertical="center" indent="1"/>
    </xf>
    <xf numFmtId="353" fontId="137" fillId="14" borderId="110" applyNumberFormat="0" applyAlignment="0" applyProtection="0"/>
    <xf numFmtId="353" fontId="4" fillId="32" borderId="115" applyNumberFormat="0" applyProtection="0">
      <alignment horizontal="left" vertical="top" indent="1"/>
    </xf>
    <xf numFmtId="353" fontId="137" fillId="14" borderId="110" applyNumberFormat="0" applyAlignment="0" applyProtection="0"/>
    <xf numFmtId="353" fontId="4" fillId="19" borderId="115" applyNumberFormat="0" applyProtection="0">
      <alignment horizontal="left" vertical="center" indent="1"/>
    </xf>
    <xf numFmtId="353" fontId="48" fillId="31" borderId="115" applyNumberFormat="0" applyProtection="0">
      <alignment horizontal="left" vertical="top" indent="1"/>
    </xf>
    <xf numFmtId="4" fontId="48" fillId="19" borderId="116" applyNumberFormat="0" applyProtection="0">
      <alignment horizontal="left" vertical="center" indent="1"/>
    </xf>
    <xf numFmtId="4" fontId="48" fillId="27" borderId="110" applyNumberFormat="0" applyProtection="0">
      <alignment horizontal="right" vertical="center"/>
    </xf>
    <xf numFmtId="4" fontId="48" fillId="20" borderId="110" applyNumberFormat="0" applyProtection="0">
      <alignment horizontal="right" vertical="center"/>
    </xf>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32" borderId="110" applyNumberFormat="0" applyProtection="0">
      <alignment horizontal="left" vertical="center" indent="1"/>
    </xf>
    <xf numFmtId="4" fontId="48" fillId="131" borderId="110" applyNumberFormat="0" applyProtection="0">
      <alignment horizontal="right" vertical="center"/>
    </xf>
    <xf numFmtId="353" fontId="48" fillId="30" borderId="115" applyNumberFormat="0" applyProtection="0">
      <alignment horizontal="left" vertical="top" indent="1"/>
    </xf>
    <xf numFmtId="4" fontId="48" fillId="30" borderId="116" applyNumberFormat="0" applyProtection="0">
      <alignment horizontal="left" vertical="center" indent="1"/>
    </xf>
    <xf numFmtId="353" fontId="48" fillId="31" borderId="115" applyNumberFormat="0" applyProtection="0">
      <alignment horizontal="left" vertical="top" indent="1"/>
    </xf>
    <xf numFmtId="353" fontId="48" fillId="83" borderId="110" applyNumberFormat="0" applyProtection="0">
      <alignment horizontal="left" vertical="center"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252" fillId="19" borderId="115" applyNumberFormat="0" applyProtection="0">
      <alignment horizontal="left" vertical="top" indent="1"/>
    </xf>
    <xf numFmtId="4" fontId="48" fillId="0" borderId="110" applyNumberFormat="0" applyProtection="0">
      <alignment horizontal="right" vertical="center"/>
    </xf>
    <xf numFmtId="353" fontId="4" fillId="32" borderId="115" applyNumberFormat="0" applyProtection="0">
      <alignment horizontal="left" vertical="top" indent="1"/>
    </xf>
    <xf numFmtId="37" fontId="59" fillId="0" borderId="118" applyNumberFormat="0"/>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4" fontId="48" fillId="19" borderId="116" applyNumberFormat="0" applyProtection="0">
      <alignment horizontal="left" vertical="center" indent="1"/>
    </xf>
    <xf numFmtId="4" fontId="48" fillId="22" borderId="116" applyNumberFormat="0" applyProtection="0">
      <alignment horizontal="right" vertical="center"/>
    </xf>
    <xf numFmtId="353" fontId="248" fillId="128" borderId="110" applyNumberFormat="0" applyAlignment="0" applyProtection="0"/>
    <xf numFmtId="353" fontId="48" fillId="32" borderId="115" applyNumberFormat="0" applyProtection="0">
      <alignment horizontal="left" vertical="top" indent="1"/>
    </xf>
    <xf numFmtId="353" fontId="48" fillId="13" borderId="110" applyNumberFormat="0" applyFont="0" applyAlignment="0" applyProtection="0"/>
    <xf numFmtId="353" fontId="48" fillId="13" borderId="110" applyNumberFormat="0" applyFont="0" applyAlignment="0" applyProtection="0"/>
    <xf numFmtId="353" fontId="48" fillId="19" borderId="115" applyNumberFormat="0" applyProtection="0">
      <alignment horizontal="left" vertical="top" indent="1"/>
    </xf>
    <xf numFmtId="353" fontId="4" fillId="31" borderId="115" applyNumberFormat="0" applyProtection="0">
      <alignment horizontal="left" vertical="center" indent="1"/>
    </xf>
    <xf numFmtId="353" fontId="4" fillId="19" borderId="115" applyNumberFormat="0" applyProtection="0">
      <alignment horizontal="left" vertical="top" indent="1"/>
    </xf>
    <xf numFmtId="353" fontId="48" fillId="31" borderId="115" applyNumberFormat="0" applyProtection="0">
      <alignment horizontal="left" vertical="top" indent="1"/>
    </xf>
    <xf numFmtId="4" fontId="48" fillId="0" borderId="110" applyNumberFormat="0" applyProtection="0">
      <alignment horizontal="right" vertical="center"/>
    </xf>
    <xf numFmtId="353" fontId="48" fillId="13" borderId="110" applyNumberFormat="0" applyFont="0" applyAlignment="0" applyProtection="0"/>
    <xf numFmtId="4" fontId="48" fillId="23" borderId="110" applyNumberFormat="0" applyProtection="0">
      <alignment horizontal="right" vertical="center"/>
    </xf>
    <xf numFmtId="4" fontId="48" fillId="23" borderId="110" applyNumberFormat="0" applyProtection="0">
      <alignment horizontal="right" vertical="center"/>
    </xf>
    <xf numFmtId="4" fontId="48" fillId="28" borderId="110" applyNumberFormat="0" applyProtection="0">
      <alignment horizontal="right" vertical="center"/>
    </xf>
    <xf numFmtId="353" fontId="48" fillId="61" borderId="110" applyNumberFormat="0" applyProtection="0">
      <alignment horizontal="left" vertical="center"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4" fontId="254" fillId="33" borderId="110" applyNumberFormat="0" applyProtection="0">
      <alignment horizontal="right" vertical="center"/>
    </xf>
    <xf numFmtId="4" fontId="48" fillId="64" borderId="110" applyNumberFormat="0" applyProtection="0">
      <alignment horizontal="left" vertical="center" indent="1"/>
    </xf>
    <xf numFmtId="353" fontId="48" fillId="30" borderId="115" applyNumberFormat="0" applyProtection="0">
      <alignment horizontal="left" vertical="top" indent="1"/>
    </xf>
    <xf numFmtId="4" fontId="253" fillId="35" borderId="116" applyNumberFormat="0" applyProtection="0">
      <alignment horizontal="left" vertical="center"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4" fontId="48" fillId="19" borderId="110" applyNumberFormat="0" applyProtection="0">
      <alignment horizontal="right" vertical="center"/>
    </xf>
    <xf numFmtId="4" fontId="48" fillId="20" borderId="110" applyNumberFormat="0" applyProtection="0">
      <alignment horizontal="right" vertical="center"/>
    </xf>
    <xf numFmtId="353" fontId="48" fillId="30" borderId="115" applyNumberFormat="0" applyProtection="0">
      <alignment horizontal="left" vertical="top" indent="1"/>
    </xf>
    <xf numFmtId="353" fontId="48" fillId="31" borderId="115" applyNumberFormat="0" applyProtection="0">
      <alignment horizontal="left" vertical="top" indent="1"/>
    </xf>
    <xf numFmtId="353" fontId="48" fillId="13" borderId="110" applyNumberFormat="0" applyFont="0" applyAlignment="0" applyProtection="0"/>
    <xf numFmtId="353" fontId="48" fillId="13" borderId="110" applyNumberFormat="0" applyFont="0" applyAlignment="0" applyProtection="0"/>
    <xf numFmtId="4" fontId="48" fillId="64" borderId="110" applyNumberFormat="0" applyProtection="0">
      <alignment horizontal="left" vertical="center" indent="1"/>
    </xf>
    <xf numFmtId="353" fontId="48" fillId="30" borderId="115" applyNumberFormat="0" applyProtection="0">
      <alignment horizontal="left" vertical="top" indent="1"/>
    </xf>
    <xf numFmtId="353" fontId="48" fillId="19" borderId="115" applyNumberFormat="0" applyProtection="0">
      <alignment horizontal="left" vertical="top" indent="1"/>
    </xf>
    <xf numFmtId="4" fontId="4" fillId="31" borderId="116" applyNumberFormat="0" applyProtection="0">
      <alignment horizontal="left" vertical="center" indent="1"/>
    </xf>
    <xf numFmtId="353" fontId="179" fillId="128" borderId="114" applyNumberFormat="0" applyAlignment="0" applyProtection="0"/>
    <xf numFmtId="164" fontId="7" fillId="0" borderId="0" applyFont="0" applyFill="0" applyBorder="0" applyAlignment="0" applyProtection="0"/>
    <xf numFmtId="353" fontId="251" fillId="18" borderId="115" applyNumberFormat="0" applyProtection="0">
      <alignment horizontal="left" vertical="top" indent="1"/>
    </xf>
    <xf numFmtId="4" fontId="48" fillId="27" borderId="110" applyNumberFormat="0" applyProtection="0">
      <alignment horizontal="right" vertical="center"/>
    </xf>
    <xf numFmtId="4" fontId="48" fillId="19" borderId="116" applyNumberFormat="0" applyProtection="0">
      <alignment horizontal="left" vertical="center" indent="1"/>
    </xf>
    <xf numFmtId="353" fontId="4" fillId="31" borderId="115" applyNumberFormat="0" applyProtection="0">
      <alignment horizontal="left" vertical="top" indent="1"/>
    </xf>
    <xf numFmtId="353" fontId="48" fillId="32" borderId="115" applyNumberFormat="0" applyProtection="0">
      <alignment horizontal="left" vertical="top" indent="1"/>
    </xf>
    <xf numFmtId="353" fontId="48" fillId="32" borderId="110" applyNumberFormat="0" applyProtection="0">
      <alignment horizontal="left" vertical="center" indent="1"/>
    </xf>
    <xf numFmtId="353" fontId="4" fillId="19" borderId="115" applyNumberFormat="0" applyProtection="0">
      <alignment horizontal="left" vertical="center" indent="1"/>
    </xf>
    <xf numFmtId="353" fontId="48" fillId="31" borderId="115" applyNumberFormat="0" applyProtection="0">
      <alignment horizontal="left" vertical="top" indent="1"/>
    </xf>
    <xf numFmtId="4" fontId="4" fillId="31" borderId="116" applyNumberFormat="0" applyProtection="0">
      <alignment horizontal="left" vertical="center" indent="1"/>
    </xf>
    <xf numFmtId="4" fontId="48" fillId="131" borderId="110" applyNumberFormat="0" applyProtection="0">
      <alignment horizontal="right" vertical="center"/>
    </xf>
    <xf numFmtId="353" fontId="48" fillId="13" borderId="110" applyNumberFormat="0" applyFont="0" applyAlignment="0" applyProtection="0"/>
    <xf numFmtId="353" fontId="248" fillId="128" borderId="110" applyNumberFormat="0" applyAlignment="0" applyProtection="0"/>
    <xf numFmtId="353" fontId="137" fillId="14" borderId="110"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4" fontId="250" fillId="45" borderId="110" applyNumberFormat="0" applyProtection="0">
      <alignment vertical="center"/>
    </xf>
    <xf numFmtId="4" fontId="48" fillId="19" borderId="110" applyNumberFormat="0" applyProtection="0">
      <alignment horizontal="right" vertical="center"/>
    </xf>
    <xf numFmtId="4" fontId="48" fillId="131" borderId="110" applyNumberFormat="0" applyProtection="0">
      <alignment horizontal="right" vertical="center"/>
    </xf>
    <xf numFmtId="353" fontId="48" fillId="31" borderId="115" applyNumberFormat="0" applyProtection="0">
      <alignment horizontal="left" vertical="top" indent="1"/>
    </xf>
    <xf numFmtId="4" fontId="48" fillId="29" borderId="116" applyNumberFormat="0" applyProtection="0">
      <alignment horizontal="left" vertical="center" indent="1"/>
    </xf>
    <xf numFmtId="4" fontId="48" fillId="26" borderId="110" applyNumberFormat="0" applyProtection="0">
      <alignment horizontal="right" vertical="center"/>
    </xf>
    <xf numFmtId="353" fontId="48" fillId="31"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48" fillId="30" borderId="115" applyNumberFormat="0" applyProtection="0">
      <alignment horizontal="left" vertical="top" indent="1"/>
    </xf>
    <xf numFmtId="4" fontId="252" fillId="34" borderId="115" applyNumberFormat="0" applyProtection="0">
      <alignment vertical="center"/>
    </xf>
    <xf numFmtId="4" fontId="253" fillId="35" borderId="116" applyNumberFormat="0" applyProtection="0">
      <alignment horizontal="left" vertical="center" indent="1"/>
    </xf>
    <xf numFmtId="353" fontId="48" fillId="19" borderId="115" applyNumberFormat="0" applyProtection="0">
      <alignment horizontal="left" vertical="top" indent="1"/>
    </xf>
    <xf numFmtId="4" fontId="48" fillId="64" borderId="110" applyNumberFormat="0" applyProtection="0">
      <alignment horizontal="left" vertical="center" indent="1"/>
    </xf>
    <xf numFmtId="353" fontId="48" fillId="30" borderId="115" applyNumberFormat="0" applyProtection="0">
      <alignment horizontal="left" vertical="top" indent="1"/>
    </xf>
    <xf numFmtId="4" fontId="48" fillId="0" borderId="110" applyNumberFormat="0" applyProtection="0">
      <alignment horizontal="right" vertical="center"/>
    </xf>
    <xf numFmtId="353" fontId="248" fillId="128" borderId="110" applyNumberFormat="0" applyAlignment="0" applyProtection="0"/>
    <xf numFmtId="353" fontId="48" fillId="13" borderId="110" applyNumberFormat="0" applyFont="0" applyAlignment="0" applyProtection="0"/>
    <xf numFmtId="4" fontId="4" fillId="31" borderId="116" applyNumberFormat="0" applyProtection="0">
      <alignment horizontal="left" vertical="center"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10" fillId="0" borderId="119" applyNumberFormat="0" applyFill="0" applyAlignment="0" applyProtection="0"/>
    <xf numFmtId="353" fontId="48" fillId="13" borderId="110" applyNumberFormat="0" applyFont="0" applyAlignment="0" applyProtection="0"/>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4" fontId="4" fillId="31" borderId="116" applyNumberFormat="0" applyProtection="0">
      <alignment horizontal="left" vertical="center" indent="1"/>
    </xf>
    <xf numFmtId="4" fontId="48" fillId="23" borderId="110" applyNumberFormat="0" applyProtection="0">
      <alignment horizontal="right" vertical="center"/>
    </xf>
    <xf numFmtId="4" fontId="250" fillId="45" borderId="110" applyNumberFormat="0" applyProtection="0">
      <alignment vertical="center"/>
    </xf>
    <xf numFmtId="353" fontId="48" fillId="13" borderId="110" applyNumberFormat="0" applyFont="0" applyAlignment="0" applyProtection="0"/>
    <xf numFmtId="353" fontId="248" fillId="128" borderId="110" applyNumberFormat="0" applyAlignment="0" applyProtection="0"/>
    <xf numFmtId="4" fontId="48" fillId="131" borderId="110" applyNumberFormat="0" applyProtection="0">
      <alignment horizontal="right" vertical="center"/>
    </xf>
    <xf numFmtId="353" fontId="48" fillId="13" borderId="110" applyNumberFormat="0" applyFont="0" applyAlignment="0" applyProtection="0"/>
    <xf numFmtId="353" fontId="252" fillId="34" borderId="115" applyNumberFormat="0" applyProtection="0">
      <alignment horizontal="left" vertical="top" indent="1"/>
    </xf>
    <xf numFmtId="4" fontId="48" fillId="25" borderId="110" applyNumberFormat="0" applyProtection="0">
      <alignment horizontal="right" vertical="center"/>
    </xf>
    <xf numFmtId="4" fontId="4" fillId="31" borderId="116" applyNumberFormat="0" applyProtection="0">
      <alignment horizontal="left" vertical="center"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 fillId="30" borderId="115" applyNumberFormat="0" applyProtection="0">
      <alignment horizontal="left" vertical="center"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10" fillId="0" borderId="119" applyNumberFormat="0" applyFill="0" applyAlignment="0" applyProtection="0"/>
    <xf numFmtId="353" fontId="48" fillId="32" borderId="115" applyNumberFormat="0" applyProtection="0">
      <alignment horizontal="left" vertical="top" indent="1"/>
    </xf>
    <xf numFmtId="353" fontId="248" fillId="128" borderId="110" applyNumberFormat="0" applyAlignment="0" applyProtection="0"/>
    <xf numFmtId="4" fontId="48" fillId="0" borderId="110" applyNumberFormat="0" applyProtection="0">
      <alignment horizontal="right" vertical="center"/>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83" borderId="110" applyNumberFormat="0" applyProtection="0">
      <alignment horizontal="left" vertical="center" indent="1"/>
    </xf>
    <xf numFmtId="353" fontId="4" fillId="31" borderId="115" applyNumberFormat="0" applyProtection="0">
      <alignment horizontal="left" vertical="top" indent="1"/>
    </xf>
    <xf numFmtId="4" fontId="48" fillId="28" borderId="110" applyNumberFormat="0" applyProtection="0">
      <alignment horizontal="right" vertical="center"/>
    </xf>
    <xf numFmtId="353" fontId="251" fillId="18" borderId="115" applyNumberFormat="0" applyProtection="0">
      <alignment horizontal="left" vertical="top" indent="1"/>
    </xf>
    <xf numFmtId="353" fontId="88" fillId="31" borderId="117" applyBorder="0"/>
    <xf numFmtId="353" fontId="48" fillId="32" borderId="110" applyNumberFormat="0" applyProtection="0">
      <alignment horizontal="left" vertical="center" indent="1"/>
    </xf>
    <xf numFmtId="353" fontId="137" fillId="14" borderId="110" applyNumberFormat="0" applyAlignment="0" applyProtection="0"/>
    <xf numFmtId="4" fontId="252" fillId="61" borderId="115" applyNumberFormat="0" applyProtection="0">
      <alignment horizontal="left" vertical="center" indent="1"/>
    </xf>
    <xf numFmtId="353" fontId="48" fillId="13" borderId="110" applyNumberFormat="0" applyFont="0" applyAlignment="0" applyProtection="0"/>
    <xf numFmtId="353" fontId="248" fillId="128" borderId="110" applyNumberFormat="0" applyAlignment="0" applyProtection="0"/>
    <xf numFmtId="4" fontId="48" fillId="45" borderId="110" applyNumberFormat="0" applyProtection="0">
      <alignment horizontal="left" vertical="center" indent="1"/>
    </xf>
    <xf numFmtId="4" fontId="48" fillId="24" borderId="110" applyNumberFormat="0" applyProtection="0">
      <alignment horizontal="right" vertical="center"/>
    </xf>
    <xf numFmtId="4" fontId="4" fillId="31" borderId="116" applyNumberFormat="0" applyProtection="0">
      <alignment horizontal="left" vertical="center" indent="1"/>
    </xf>
    <xf numFmtId="353" fontId="4" fillId="31" borderId="115" applyNumberFormat="0" applyProtection="0">
      <alignment horizontal="left" vertical="top"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8" fillId="32" borderId="110" applyNumberFormat="0" applyProtection="0">
      <alignment horizontal="left" vertical="center" indent="1"/>
    </xf>
    <xf numFmtId="353" fontId="10" fillId="0" borderId="119" applyNumberFormat="0" applyFill="0" applyAlignment="0" applyProtection="0"/>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4" fontId="4" fillId="31" borderId="116" applyNumberFormat="0" applyProtection="0">
      <alignment horizontal="left" vertical="center" indent="1"/>
    </xf>
    <xf numFmtId="4" fontId="48" fillId="64" borderId="110" applyNumberFormat="0" applyProtection="0">
      <alignment horizontal="left" vertical="center" indent="1"/>
    </xf>
    <xf numFmtId="353" fontId="252" fillId="34" borderId="115" applyNumberFormat="0" applyProtection="0">
      <alignment horizontal="left" vertical="top" indent="1"/>
    </xf>
    <xf numFmtId="353" fontId="48" fillId="30" borderId="115" applyNumberFormat="0" applyProtection="0">
      <alignment horizontal="left" vertical="top" indent="1"/>
    </xf>
    <xf numFmtId="353" fontId="252" fillId="34" borderId="115" applyNumberFormat="0" applyProtection="0">
      <alignment horizontal="left" vertical="top" indent="1"/>
    </xf>
    <xf numFmtId="353" fontId="48" fillId="32" borderId="115" applyNumberFormat="0" applyProtection="0">
      <alignment horizontal="left" vertical="top" indent="1"/>
    </xf>
    <xf numFmtId="353" fontId="252" fillId="19" borderId="115" applyNumberFormat="0" applyProtection="0">
      <alignment horizontal="left" vertical="top" indent="1"/>
    </xf>
    <xf numFmtId="353" fontId="88" fillId="31" borderId="117" applyBorder="0"/>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210" fontId="59" fillId="0" borderId="29" applyFill="0"/>
    <xf numFmtId="4" fontId="48" fillId="28" borderId="110" applyNumberFormat="0" applyProtection="0">
      <alignment horizontal="right" vertical="center"/>
    </xf>
    <xf numFmtId="4" fontId="48" fillId="19" borderId="116" applyNumberFormat="0" applyProtection="0">
      <alignment horizontal="left" vertical="center" indent="1"/>
    </xf>
    <xf numFmtId="4" fontId="48" fillId="20" borderId="110" applyNumberFormat="0" applyProtection="0">
      <alignment horizontal="right" vertical="center"/>
    </xf>
    <xf numFmtId="4" fontId="48" fillId="28" borderId="110" applyNumberFormat="0" applyProtection="0">
      <alignment horizontal="right" vertical="center"/>
    </xf>
    <xf numFmtId="353" fontId="179" fillId="128" borderId="114"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137" fillId="14" borderId="110" applyNumberFormat="0" applyAlignment="0" applyProtection="0"/>
    <xf numFmtId="353" fontId="48" fillId="13" borderId="110" applyNumberFormat="0" applyFont="0" applyAlignment="0" applyProtection="0"/>
    <xf numFmtId="4" fontId="48" fillId="18" borderId="110" applyNumberFormat="0" applyProtection="0">
      <alignment vertical="center"/>
    </xf>
    <xf numFmtId="4" fontId="48" fillId="24" borderId="110" applyNumberFormat="0" applyProtection="0">
      <alignment horizontal="right" vertical="center"/>
    </xf>
    <xf numFmtId="4" fontId="48" fillId="30" borderId="116" applyNumberFormat="0" applyProtection="0">
      <alignment horizontal="left" vertical="center"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 fillId="32" borderId="115" applyNumberFormat="0" applyProtection="0">
      <alignment horizontal="left" vertical="center" indent="1"/>
    </xf>
    <xf numFmtId="353" fontId="48" fillId="32" borderId="115" applyNumberFormat="0" applyProtection="0">
      <alignment horizontal="left" vertical="top" indent="1"/>
    </xf>
    <xf numFmtId="353" fontId="48" fillId="31" borderId="115" applyNumberFormat="0" applyProtection="0">
      <alignment horizontal="left" vertical="top" indent="1"/>
    </xf>
    <xf numFmtId="4" fontId="48" fillId="24" borderId="110" applyNumberFormat="0" applyProtection="0">
      <alignment horizontal="right" vertical="center"/>
    </xf>
    <xf numFmtId="4" fontId="48" fillId="18" borderId="110" applyNumberFormat="0" applyProtection="0">
      <alignment vertical="center"/>
    </xf>
    <xf numFmtId="4" fontId="48" fillId="64" borderId="110" applyNumberFormat="0" applyProtection="0">
      <alignment horizontal="left" vertical="center" indent="1"/>
    </xf>
    <xf numFmtId="4" fontId="48" fillId="45" borderId="110" applyNumberFormat="0" applyProtection="0">
      <alignment horizontal="left" vertical="center" indent="1"/>
    </xf>
    <xf numFmtId="4" fontId="48" fillId="26" borderId="110" applyNumberFormat="0" applyProtection="0">
      <alignment horizontal="right" vertical="center"/>
    </xf>
    <xf numFmtId="4" fontId="4" fillId="31" borderId="116" applyNumberFormat="0" applyProtection="0">
      <alignment horizontal="left" vertical="center" indent="1"/>
    </xf>
    <xf numFmtId="4" fontId="48" fillId="22" borderId="116" applyNumberFormat="0" applyProtection="0">
      <alignment horizontal="right" vertical="center"/>
    </xf>
    <xf numFmtId="4" fontId="48" fillId="30" borderId="116" applyNumberFormat="0" applyProtection="0">
      <alignment horizontal="left" vertical="center" indent="1"/>
    </xf>
    <xf numFmtId="353" fontId="4" fillId="31" borderId="115" applyNumberFormat="0" applyProtection="0">
      <alignment horizontal="left" vertical="center" indent="1"/>
    </xf>
    <xf numFmtId="353" fontId="48" fillId="32" borderId="115" applyNumberFormat="0" applyProtection="0">
      <alignment horizontal="left" vertical="top" indent="1"/>
    </xf>
    <xf numFmtId="4" fontId="4" fillId="31" borderId="116" applyNumberFormat="0" applyProtection="0">
      <alignment horizontal="left" vertical="center" indent="1"/>
    </xf>
    <xf numFmtId="353" fontId="179" fillId="128" borderId="114" applyNumberFormat="0" applyAlignment="0" applyProtection="0"/>
    <xf numFmtId="353" fontId="48" fillId="13" borderId="110" applyNumberFormat="0" applyFont="0" applyAlignment="0" applyProtection="0"/>
    <xf numFmtId="4" fontId="48" fillId="18" borderId="110" applyNumberFormat="0" applyProtection="0">
      <alignment vertical="center"/>
    </xf>
    <xf numFmtId="353" fontId="4" fillId="31" borderId="115" applyNumberFormat="0" applyProtection="0">
      <alignment horizontal="left" vertical="center" indent="1"/>
    </xf>
    <xf numFmtId="353" fontId="48" fillId="30" borderId="115" applyNumberFormat="0" applyProtection="0">
      <alignment horizontal="left" vertical="top" indent="1"/>
    </xf>
    <xf numFmtId="353" fontId="4" fillId="32"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353" fontId="48" fillId="61" borderId="110" applyNumberFormat="0" applyProtection="0">
      <alignment horizontal="left" vertical="center" indent="1"/>
    </xf>
    <xf numFmtId="4" fontId="48" fillId="26" borderId="110" applyNumberFormat="0" applyProtection="0">
      <alignment horizontal="right" vertical="center"/>
    </xf>
    <xf numFmtId="4" fontId="48" fillId="45" borderId="110" applyNumberFormat="0" applyProtection="0">
      <alignment horizontal="left" vertical="center" indent="1"/>
    </xf>
    <xf numFmtId="353" fontId="48" fillId="13" borderId="110" applyNumberFormat="0" applyFont="0" applyAlignment="0" applyProtection="0"/>
    <xf numFmtId="353" fontId="137" fillId="14" borderId="110" applyNumberForma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4" fontId="48" fillId="25" borderId="110" applyNumberFormat="0" applyProtection="0">
      <alignment horizontal="right" vertical="center"/>
    </xf>
    <xf numFmtId="353" fontId="251" fillId="18" borderId="115" applyNumberFormat="0" applyProtection="0">
      <alignment horizontal="left" vertical="top" indent="1"/>
    </xf>
    <xf numFmtId="4" fontId="48" fillId="19" borderId="110" applyNumberFormat="0" applyProtection="0">
      <alignment horizontal="right" vertical="center"/>
    </xf>
    <xf numFmtId="4" fontId="48" fillId="26" borderId="110" applyNumberFormat="0" applyProtection="0">
      <alignment horizontal="right" vertical="center"/>
    </xf>
    <xf numFmtId="4" fontId="48" fillId="24" borderId="110" applyNumberFormat="0" applyProtection="0">
      <alignment horizontal="right" vertical="center"/>
    </xf>
    <xf numFmtId="353" fontId="48" fillId="31" borderId="115" applyNumberFormat="0" applyProtection="0">
      <alignment horizontal="left" vertical="top" indent="1"/>
    </xf>
    <xf numFmtId="353" fontId="248" fillId="128" borderId="110" applyNumberFormat="0" applyAlignment="0" applyProtection="0"/>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4" fontId="250" fillId="50" borderId="110" applyNumberFormat="0" applyProtection="0">
      <alignment horizontal="right" vertical="center"/>
    </xf>
    <xf numFmtId="353" fontId="10" fillId="0" borderId="119" applyNumberFormat="0" applyFill="0" applyAlignment="0" applyProtection="0"/>
    <xf numFmtId="4" fontId="252" fillId="34" borderId="115" applyNumberFormat="0" applyProtection="0">
      <alignment vertical="center"/>
    </xf>
    <xf numFmtId="353" fontId="48" fillId="30" borderId="115" applyNumberFormat="0" applyProtection="0">
      <alignment horizontal="left" vertical="top" indent="1"/>
    </xf>
    <xf numFmtId="353" fontId="88" fillId="31" borderId="117" applyBorder="0"/>
    <xf numFmtId="4" fontId="48" fillId="0" borderId="110" applyNumberFormat="0" applyProtection="0">
      <alignment horizontal="right" vertical="center"/>
    </xf>
    <xf numFmtId="353" fontId="48" fillId="30" borderId="115" applyNumberFormat="0" applyProtection="0">
      <alignment horizontal="left" vertical="top" indent="1"/>
    </xf>
    <xf numFmtId="4" fontId="48" fillId="28" borderId="110" applyNumberFormat="0" applyProtection="0">
      <alignment horizontal="right" vertical="center"/>
    </xf>
    <xf numFmtId="353" fontId="48" fillId="61" borderId="110" applyNumberFormat="0" applyProtection="0">
      <alignment horizontal="left" vertical="center"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4" fontId="254" fillId="33" borderId="110" applyNumberFormat="0" applyProtection="0">
      <alignment horizontal="right" vertical="center"/>
    </xf>
    <xf numFmtId="353" fontId="137" fillId="14" borderId="110" applyNumberFormat="0" applyAlignment="0" applyProtection="0"/>
    <xf numFmtId="353" fontId="48" fillId="32" borderId="115" applyNumberFormat="0" applyProtection="0">
      <alignment horizontal="left" vertical="top" indent="1"/>
    </xf>
    <xf numFmtId="353" fontId="137" fillId="14" borderId="110" applyNumberFormat="0" applyAlignment="0" applyProtection="0"/>
    <xf numFmtId="353" fontId="48" fillId="83" borderId="110" applyNumberFormat="0" applyProtection="0">
      <alignment horizontal="left" vertical="center" indent="1"/>
    </xf>
    <xf numFmtId="353" fontId="48" fillId="31" borderId="115" applyNumberFormat="0" applyProtection="0">
      <alignment horizontal="left" vertical="top" indent="1"/>
    </xf>
    <xf numFmtId="4" fontId="48" fillId="30" borderId="116" applyNumberFormat="0" applyProtection="0">
      <alignment horizontal="left" vertical="center" indent="1"/>
    </xf>
    <xf numFmtId="4" fontId="48" fillId="26" borderId="110" applyNumberFormat="0" applyProtection="0">
      <alignment horizontal="right" vertical="center"/>
    </xf>
    <xf numFmtId="4" fontId="48" fillId="64" borderId="110" applyNumberFormat="0" applyProtection="0">
      <alignment horizontal="left" vertical="center" indent="1"/>
    </xf>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48" fillId="13" borderId="110" applyNumberFormat="0" applyFont="0" applyAlignment="0" applyProtection="0"/>
    <xf numFmtId="353" fontId="88" fillId="31" borderId="117" applyBorder="0"/>
    <xf numFmtId="4" fontId="48" fillId="22" borderId="116" applyNumberFormat="0" applyProtection="0">
      <alignment horizontal="right" vertical="center"/>
    </xf>
    <xf numFmtId="353" fontId="48" fillId="30" borderId="115" applyNumberFormat="0" applyProtection="0">
      <alignment horizontal="left" vertical="top" indent="1"/>
    </xf>
    <xf numFmtId="4" fontId="48" fillId="19" borderId="116" applyNumberFormat="0" applyProtection="0">
      <alignment horizontal="left" vertical="center" indent="1"/>
    </xf>
    <xf numFmtId="353" fontId="48" fillId="31" borderId="115" applyNumberFormat="0" applyProtection="0">
      <alignment horizontal="left" vertical="top" indent="1"/>
    </xf>
    <xf numFmtId="353" fontId="4" fillId="19" borderId="115" applyNumberFormat="0" applyProtection="0">
      <alignment horizontal="left" vertical="center" indent="1"/>
    </xf>
    <xf numFmtId="353" fontId="48" fillId="19" borderId="115" applyNumberFormat="0" applyProtection="0">
      <alignment horizontal="left" vertical="top" indent="1"/>
    </xf>
    <xf numFmtId="353" fontId="4" fillId="32"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4" fontId="253" fillId="35" borderId="116" applyNumberFormat="0" applyProtection="0">
      <alignment horizontal="left" vertical="center" indent="1"/>
    </xf>
    <xf numFmtId="4" fontId="250" fillId="50" borderId="110" applyNumberFormat="0" applyProtection="0">
      <alignment horizontal="right" vertical="center"/>
    </xf>
    <xf numFmtId="353" fontId="48" fillId="13" borderId="110" applyNumberFormat="0" applyFont="0" applyAlignment="0" applyProtection="0"/>
    <xf numFmtId="4" fontId="254" fillId="33" borderId="110" applyNumberFormat="0" applyProtection="0">
      <alignment horizontal="right" vertical="center"/>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4" fontId="48" fillId="30" borderId="116" applyNumberFormat="0" applyProtection="0">
      <alignment horizontal="left" vertical="center" indent="1"/>
    </xf>
    <xf numFmtId="4" fontId="48" fillId="131" borderId="110" applyNumberFormat="0" applyProtection="0">
      <alignment horizontal="right" vertical="center"/>
    </xf>
    <xf numFmtId="353" fontId="48" fillId="32" borderId="115" applyNumberFormat="0" applyProtection="0">
      <alignment horizontal="left" vertical="top" indent="1"/>
    </xf>
    <xf numFmtId="353" fontId="48" fillId="13" borderId="110" applyNumberFormat="0" applyFont="0" applyAlignment="0" applyProtection="0"/>
    <xf numFmtId="353" fontId="48" fillId="13" borderId="110" applyNumberFormat="0" applyFont="0" applyAlignment="0" applyProtection="0"/>
    <xf numFmtId="353" fontId="48" fillId="32" borderId="110" applyNumberFormat="0" applyProtection="0">
      <alignment horizontal="left" vertical="center"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4" fontId="250" fillId="50" borderId="110" applyNumberFormat="0" applyProtection="0">
      <alignment horizontal="right" vertical="center"/>
    </xf>
    <xf numFmtId="353" fontId="48" fillId="13" borderId="110" applyNumberFormat="0" applyFont="0" applyAlignment="0" applyProtection="0"/>
    <xf numFmtId="4" fontId="48" fillId="22" borderId="116" applyNumberFormat="0" applyProtection="0">
      <alignment horizontal="right" vertical="center"/>
    </xf>
    <xf numFmtId="4" fontId="48" fillId="24" borderId="110" applyNumberFormat="0" applyProtection="0">
      <alignment horizontal="right" vertical="center"/>
    </xf>
    <xf numFmtId="4" fontId="48" fillId="29" borderId="116" applyNumberFormat="0" applyProtection="0">
      <alignment horizontal="left" vertical="center" indent="1"/>
    </xf>
    <xf numFmtId="353" fontId="4" fillId="31" borderId="115" applyNumberFormat="0" applyProtection="0">
      <alignment horizontal="left" vertical="center" indent="1"/>
    </xf>
    <xf numFmtId="353" fontId="48" fillId="31" borderId="115" applyNumberFormat="0" applyProtection="0">
      <alignment horizontal="left" vertical="top" indent="1"/>
    </xf>
    <xf numFmtId="353" fontId="4" fillId="19"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0" borderId="110" applyNumberFormat="0" applyProtection="0">
      <alignment horizontal="left" vertical="center"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7" fontId="59" fillId="0" borderId="118" applyNumberFormat="0"/>
    <xf numFmtId="4" fontId="254" fillId="33" borderId="110" applyNumberFormat="0" applyProtection="0">
      <alignment horizontal="right" vertical="center"/>
    </xf>
    <xf numFmtId="353" fontId="48" fillId="19" borderId="115" applyNumberFormat="0" applyProtection="0">
      <alignment horizontal="left" vertical="top" indent="1"/>
    </xf>
    <xf numFmtId="353" fontId="252" fillId="19" borderId="115" applyNumberFormat="0" applyProtection="0">
      <alignment horizontal="left" vertical="top" indent="1"/>
    </xf>
    <xf numFmtId="353" fontId="48" fillId="30" borderId="115" applyNumberFormat="0" applyProtection="0">
      <alignment horizontal="left" vertical="top" indent="1"/>
    </xf>
    <xf numFmtId="353" fontId="4" fillId="32" borderId="115" applyNumberFormat="0" applyProtection="0">
      <alignment horizontal="left" vertical="center" indent="1"/>
    </xf>
    <xf numFmtId="353" fontId="4" fillId="19" borderId="115" applyNumberFormat="0" applyProtection="0">
      <alignment horizontal="left" vertical="center" indent="1"/>
    </xf>
    <xf numFmtId="353" fontId="48" fillId="31" borderId="115" applyNumberFormat="0" applyProtection="0">
      <alignment horizontal="left" vertical="top" indent="1"/>
    </xf>
    <xf numFmtId="4" fontId="4" fillId="31" borderId="116" applyNumberFormat="0" applyProtection="0">
      <alignment horizontal="left" vertical="center" indent="1"/>
    </xf>
    <xf numFmtId="4" fontId="48" fillId="64" borderId="110" applyNumberFormat="0" applyProtection="0">
      <alignment horizontal="left" vertical="center" indent="1"/>
    </xf>
    <xf numFmtId="353" fontId="48" fillId="31" borderId="115" applyNumberFormat="0" applyProtection="0">
      <alignment horizontal="left" vertical="top" indent="1"/>
    </xf>
    <xf numFmtId="353" fontId="48" fillId="13" borderId="110" applyNumberFormat="0" applyFont="0" applyAlignment="0" applyProtection="0"/>
    <xf numFmtId="4" fontId="250" fillId="50" borderId="110" applyNumberFormat="0" applyProtection="0">
      <alignment horizontal="right" vertical="center"/>
    </xf>
    <xf numFmtId="353" fontId="4" fillId="30" borderId="115" applyNumberFormat="0" applyProtection="0">
      <alignment horizontal="left" vertical="top" indent="1"/>
    </xf>
    <xf numFmtId="353" fontId="48" fillId="19" borderId="115" applyNumberFormat="0" applyProtection="0">
      <alignment horizontal="left" vertical="top" indent="1"/>
    </xf>
    <xf numFmtId="4" fontId="48" fillId="29" borderId="116" applyNumberFormat="0" applyProtection="0">
      <alignment horizontal="left" vertical="center" indent="1"/>
    </xf>
    <xf numFmtId="4" fontId="48" fillId="22" borderId="116" applyNumberFormat="0" applyProtection="0">
      <alignment horizontal="right" vertical="center"/>
    </xf>
    <xf numFmtId="4" fontId="252" fillId="61" borderId="115" applyNumberFormat="0" applyProtection="0">
      <alignment horizontal="left" vertical="center" indent="1"/>
    </xf>
    <xf numFmtId="353" fontId="10" fillId="0" borderId="119" applyNumberFormat="0" applyFill="0" applyAlignment="0" applyProtection="0"/>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0" borderId="115" applyNumberFormat="0" applyProtection="0">
      <alignment horizontal="left" vertical="top" indent="1"/>
    </xf>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248" fillId="128" borderId="110" applyNumberFormat="0" applyAlignment="0" applyProtection="0"/>
    <xf numFmtId="353" fontId="48" fillId="13" borderId="110" applyNumberFormat="0" applyFont="0" applyAlignment="0" applyProtection="0"/>
    <xf numFmtId="4" fontId="250" fillId="45" borderId="110" applyNumberFormat="0" applyProtection="0">
      <alignment vertical="center"/>
    </xf>
    <xf numFmtId="4" fontId="48" fillId="27" borderId="110" applyNumberFormat="0" applyProtection="0">
      <alignment horizontal="right" vertical="center"/>
    </xf>
    <xf numFmtId="353" fontId="48" fillId="31" borderId="115" applyNumberFormat="0" applyProtection="0">
      <alignment horizontal="left" vertical="top" indent="1"/>
    </xf>
    <xf numFmtId="353" fontId="48" fillId="31" borderId="115" applyNumberFormat="0" applyProtection="0">
      <alignment horizontal="left" vertical="top"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252" fillId="34" borderId="115" applyNumberFormat="0" applyProtection="0">
      <alignment horizontal="left" vertical="top" indent="1"/>
    </xf>
    <xf numFmtId="353" fontId="10" fillId="0" borderId="119" applyNumberFormat="0" applyFill="0" applyAlignment="0" applyProtection="0"/>
    <xf numFmtId="353" fontId="48" fillId="30" borderId="115" applyNumberFormat="0" applyProtection="0">
      <alignment horizontal="left" vertical="top" indent="1"/>
    </xf>
    <xf numFmtId="353" fontId="48" fillId="32" borderId="110" applyNumberFormat="0" applyProtection="0">
      <alignment horizontal="left" vertical="center"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353" fontId="4" fillId="31" borderId="115" applyNumberFormat="0" applyProtection="0">
      <alignment horizontal="left" vertical="top" indent="1"/>
    </xf>
    <xf numFmtId="4" fontId="4" fillId="31" borderId="116" applyNumberFormat="0" applyProtection="0">
      <alignment horizontal="left" vertical="center" indent="1"/>
    </xf>
    <xf numFmtId="4" fontId="48" fillId="26" borderId="110" applyNumberFormat="0" applyProtection="0">
      <alignment horizontal="right" vertical="center"/>
    </xf>
    <xf numFmtId="353" fontId="48" fillId="13" borderId="110" applyNumberFormat="0" applyFont="0" applyAlignment="0" applyProtection="0"/>
    <xf numFmtId="4" fontId="48" fillId="18" borderId="110" applyNumberFormat="0" applyProtection="0">
      <alignment vertical="center"/>
    </xf>
    <xf numFmtId="4" fontId="48" fillId="29" borderId="116" applyNumberFormat="0" applyProtection="0">
      <alignment horizontal="left" vertical="center" indent="1"/>
    </xf>
    <xf numFmtId="353" fontId="4" fillId="31" borderId="115" applyNumberFormat="0" applyProtection="0">
      <alignment horizontal="left" vertical="center" indent="1"/>
    </xf>
    <xf numFmtId="353" fontId="4" fillId="19" borderId="115" applyNumberFormat="0" applyProtection="0">
      <alignment horizontal="left" vertical="top" indent="1"/>
    </xf>
    <xf numFmtId="353" fontId="48" fillId="13" borderId="110" applyNumberFormat="0" applyFont="0" applyAlignment="0" applyProtection="0"/>
    <xf numFmtId="210" fontId="59" fillId="0" borderId="29" applyFill="0"/>
    <xf numFmtId="353" fontId="48" fillId="30" borderId="115" applyNumberFormat="0" applyProtection="0">
      <alignment horizontal="left" vertical="top"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353" fontId="48" fillId="31" borderId="115" applyNumberFormat="0" applyProtection="0">
      <alignment horizontal="left" vertical="top" indent="1"/>
    </xf>
    <xf numFmtId="4" fontId="48" fillId="19" borderId="110" applyNumberFormat="0" applyProtection="0">
      <alignment horizontal="right" vertical="center"/>
    </xf>
    <xf numFmtId="4" fontId="48" fillId="45" borderId="110" applyNumberFormat="0" applyProtection="0">
      <alignment horizontal="left" vertical="center" indent="1"/>
    </xf>
    <xf numFmtId="4" fontId="250" fillId="50" borderId="110" applyNumberFormat="0" applyProtection="0">
      <alignment horizontal="right" vertical="center"/>
    </xf>
    <xf numFmtId="353" fontId="48" fillId="30" borderId="115" applyNumberFormat="0" applyProtection="0">
      <alignment horizontal="left" vertical="top" indent="1"/>
    </xf>
    <xf numFmtId="353" fontId="252" fillId="19" borderId="115" applyNumberFormat="0" applyProtection="0">
      <alignment horizontal="left" vertical="top" indent="1"/>
    </xf>
    <xf numFmtId="4" fontId="254" fillId="33" borderId="110" applyNumberFormat="0" applyProtection="0">
      <alignment horizontal="right" vertical="center"/>
    </xf>
    <xf numFmtId="4" fontId="252" fillId="61" borderId="115" applyNumberFormat="0" applyProtection="0">
      <alignment horizontal="left" vertical="center" indent="1"/>
    </xf>
    <xf numFmtId="353" fontId="4" fillId="30" borderId="115" applyNumberFormat="0" applyProtection="0">
      <alignment horizontal="left" vertical="center" indent="1"/>
    </xf>
    <xf numFmtId="353" fontId="48" fillId="32" borderId="115" applyNumberFormat="0" applyProtection="0">
      <alignment horizontal="left" vertical="top" indent="1"/>
    </xf>
    <xf numFmtId="353" fontId="48" fillId="19" borderId="115" applyNumberFormat="0" applyProtection="0">
      <alignment horizontal="left" vertical="top" indent="1"/>
    </xf>
    <xf numFmtId="353" fontId="48" fillId="19" borderId="115" applyNumberFormat="0" applyProtection="0">
      <alignment horizontal="left" vertical="top" indent="1"/>
    </xf>
    <xf numFmtId="353" fontId="48" fillId="31" borderId="115" applyNumberFormat="0" applyProtection="0">
      <alignment horizontal="left" vertical="top" indent="1"/>
    </xf>
    <xf numFmtId="353" fontId="4" fillId="30" borderId="115" applyNumberFormat="0" applyProtection="0">
      <alignment horizontal="left" vertical="top" indent="1"/>
    </xf>
    <xf numFmtId="4" fontId="4" fillId="31" borderId="116" applyNumberFormat="0" applyProtection="0">
      <alignment horizontal="left" vertical="center" indent="1"/>
    </xf>
    <xf numFmtId="353" fontId="4" fillId="31" borderId="115" applyNumberFormat="0" applyProtection="0">
      <alignment horizontal="left" vertical="top" indent="1"/>
    </xf>
    <xf numFmtId="4" fontId="48" fillId="22" borderId="116" applyNumberFormat="0" applyProtection="0">
      <alignment horizontal="right" vertical="center"/>
    </xf>
    <xf numFmtId="353" fontId="48" fillId="61" borderId="110" applyNumberFormat="0" applyProtection="0">
      <alignment horizontal="left" vertical="center" indent="1"/>
    </xf>
    <xf numFmtId="4" fontId="48" fillId="45" borderId="110" applyNumberFormat="0" applyProtection="0">
      <alignment horizontal="left" vertical="center" indent="1"/>
    </xf>
    <xf numFmtId="353" fontId="48" fillId="13" borderId="110" applyNumberFormat="0" applyFont="0" applyAlignment="0" applyProtection="0"/>
    <xf numFmtId="353" fontId="48" fillId="13" borderId="110" applyNumberFormat="0" applyFont="0" applyAlignment="0" applyProtection="0"/>
    <xf numFmtId="353" fontId="248" fillId="128" borderId="110" applyNumberFormat="0" applyAlignment="0" applyProtection="0"/>
    <xf numFmtId="353" fontId="48" fillId="13" borderId="110" applyNumberFormat="0" applyFont="0" applyAlignment="0" applyProtection="0"/>
    <xf numFmtId="4" fontId="48" fillId="20" borderId="110" applyNumberFormat="0" applyProtection="0">
      <alignment horizontal="right" vertical="center"/>
    </xf>
    <xf numFmtId="4" fontId="48" fillId="29" borderId="116" applyNumberFormat="0" applyProtection="0">
      <alignment horizontal="left" vertical="center" indent="1"/>
    </xf>
    <xf numFmtId="353" fontId="4" fillId="31" borderId="115" applyNumberFormat="0" applyProtection="0">
      <alignment horizontal="left" vertical="top" indent="1"/>
    </xf>
    <xf numFmtId="353" fontId="48" fillId="83" borderId="110" applyNumberFormat="0" applyProtection="0">
      <alignment horizontal="left" vertical="center" indent="1"/>
    </xf>
    <xf numFmtId="353" fontId="48" fillId="19" borderId="115" applyNumberFormat="0" applyProtection="0">
      <alignment horizontal="left" vertical="top" indent="1"/>
    </xf>
    <xf numFmtId="353" fontId="48" fillId="32" borderId="115" applyNumberFormat="0" applyProtection="0">
      <alignment horizontal="left" vertical="top" indent="1"/>
    </xf>
    <xf numFmtId="353" fontId="48" fillId="31" borderId="115" applyNumberFormat="0" applyProtection="0">
      <alignment horizontal="left" vertical="top" indent="1"/>
    </xf>
    <xf numFmtId="4" fontId="48" fillId="28" borderId="110" applyNumberFormat="0" applyProtection="0">
      <alignment horizontal="right" vertical="center"/>
    </xf>
    <xf numFmtId="4" fontId="48" fillId="27" borderId="110" applyNumberFormat="0" applyProtection="0">
      <alignment horizontal="right" vertical="center"/>
    </xf>
    <xf numFmtId="353" fontId="48" fillId="31" borderId="115" applyNumberFormat="0" applyProtection="0">
      <alignment horizontal="left" vertical="top" indent="1"/>
    </xf>
    <xf numFmtId="353" fontId="48" fillId="32" borderId="115" applyNumberFormat="0" applyProtection="0">
      <alignment horizontal="left" vertical="top" indent="1"/>
    </xf>
    <xf numFmtId="353" fontId="248" fillId="128" borderId="110" applyNumberFormat="0" applyAlignment="0" applyProtection="0"/>
    <xf numFmtId="353" fontId="48" fillId="19" borderId="115" applyNumberFormat="0" applyProtection="0">
      <alignment horizontal="left" vertical="top" indent="1"/>
    </xf>
    <xf numFmtId="353" fontId="48" fillId="30" borderId="115" applyNumberFormat="0" applyProtection="0">
      <alignment horizontal="left" vertical="top" indent="1"/>
    </xf>
    <xf numFmtId="4" fontId="48" fillId="64" borderId="110" applyNumberFormat="0" applyProtection="0">
      <alignment horizontal="left" vertical="center" indent="1"/>
    </xf>
    <xf numFmtId="4" fontId="48" fillId="0" borderId="110" applyNumberFormat="0" applyProtection="0">
      <alignment horizontal="right" vertical="center"/>
    </xf>
    <xf numFmtId="353" fontId="48" fillId="13" borderId="110" applyNumberFormat="0" applyFont="0" applyAlignment="0" applyProtection="0"/>
    <xf numFmtId="353" fontId="137" fillId="14" borderId="110" applyNumberFormat="0" applyAlignment="0" applyProtection="0"/>
    <xf numFmtId="353" fontId="251" fillId="18" borderId="115" applyNumberFormat="0" applyProtection="0">
      <alignment horizontal="left" vertical="top" indent="1"/>
    </xf>
    <xf numFmtId="353" fontId="48" fillId="13" borderId="110" applyNumberFormat="0" applyFont="0" applyAlignment="0" applyProtection="0"/>
    <xf numFmtId="353" fontId="48" fillId="30" borderId="110"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3" fontId="248" fillId="128" borderId="110" applyNumberFormat="0" applyAlignment="0" applyProtection="0"/>
    <xf numFmtId="4" fontId="250" fillId="50" borderId="110" applyNumberFormat="0" applyProtection="0">
      <alignment horizontal="right" vertical="center"/>
    </xf>
    <xf numFmtId="353" fontId="137" fillId="14" borderId="110" applyNumberFormat="0" applyAlignment="0" applyProtection="0"/>
    <xf numFmtId="164" fontId="7" fillId="0" borderId="0" applyFont="0" applyFill="0" applyBorder="0" applyAlignment="0" applyProtection="0"/>
    <xf numFmtId="353" fontId="248" fillId="128" borderId="110" applyNumberFormat="0" applyAlignment="0" applyProtection="0"/>
    <xf numFmtId="4" fontId="48" fillId="45" borderId="110" applyNumberFormat="0" applyProtection="0">
      <alignment horizontal="left" vertical="center" indent="1"/>
    </xf>
    <xf numFmtId="353" fontId="137" fillId="14" borderId="110" applyNumberFormat="0" applyAlignment="0" applyProtection="0"/>
    <xf numFmtId="4" fontId="48" fillId="64" borderId="110" applyNumberFormat="0" applyProtection="0">
      <alignment horizontal="left" vertical="center" indent="1"/>
    </xf>
    <xf numFmtId="4" fontId="48" fillId="26" borderId="110" applyNumberFormat="0" applyProtection="0">
      <alignment horizontal="right" vertical="center"/>
    </xf>
    <xf numFmtId="164" fontId="7" fillId="0" borderId="0" applyFont="0" applyFill="0" applyBorder="0" applyAlignment="0" applyProtection="0"/>
    <xf numFmtId="4" fontId="254" fillId="33" borderId="110" applyNumberFormat="0" applyProtection="0">
      <alignment horizontal="right" vertical="center"/>
    </xf>
    <xf numFmtId="4" fontId="48" fillId="23" borderId="110" applyNumberFormat="0" applyProtection="0">
      <alignment horizontal="right" vertical="center"/>
    </xf>
  </cellStyleXfs>
  <cellXfs count="1008">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0" xfId="75" applyFont="1" applyProtection="1">
      <protection locked="0"/>
    </xf>
    <xf numFmtId="0" fontId="3" fillId="0" borderId="0" xfId="0" applyFont="1" applyAlignment="1">
      <alignment horizontal="left" vertical="top"/>
    </xf>
    <xf numFmtId="0" fontId="3" fillId="0" borderId="0" xfId="0" applyFont="1"/>
    <xf numFmtId="0" fontId="21" fillId="0" borderId="0" xfId="0" applyFont="1"/>
    <xf numFmtId="0" fontId="22" fillId="0" borderId="0" xfId="0" applyFont="1"/>
    <xf numFmtId="0" fontId="5" fillId="42" borderId="0" xfId="7" applyFont="1" applyFill="1" applyBorder="1"/>
    <xf numFmtId="0" fontId="4" fillId="42" borderId="0" xfId="88" applyFill="1" applyBorder="1"/>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27" fillId="47" borderId="0"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0" xfId="7" applyFont="1" applyFill="1" applyBorder="1" applyAlignment="1">
      <alignment horizontal="left" indent="1"/>
    </xf>
    <xf numFmtId="170" fontId="0" fillId="0" borderId="61" xfId="77" applyNumberFormat="1" applyFont="1" applyBorder="1"/>
    <xf numFmtId="0" fontId="0" fillId="0" borderId="61" xfId="0" applyBorder="1"/>
    <xf numFmtId="0" fontId="0" fillId="0" borderId="62" xfId="0" applyBorder="1"/>
    <xf numFmtId="3" fontId="5" fillId="0" borderId="63" xfId="89" applyNumberFormat="1" applyFont="1" applyFill="1" applyBorder="1" applyAlignment="1">
      <alignment horizontal="left" indent="1"/>
    </xf>
    <xf numFmtId="3" fontId="5" fillId="0" borderId="66" xfId="89" applyNumberFormat="1" applyFont="1" applyFill="1" applyBorder="1" applyAlignment="1">
      <alignment horizontal="left" inden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53" borderId="0" xfId="0" applyFill="1" applyAlignment="1">
      <alignment horizontal="left" vertical="top"/>
    </xf>
    <xf numFmtId="0" fontId="0" fillId="53" borderId="0" xfId="0" applyFill="1" applyAlignment="1">
      <alignment horizontal="center" vertical="top"/>
    </xf>
    <xf numFmtId="0" fontId="5" fillId="42" borderId="0" xfId="7" applyFont="1" applyFill="1" applyBorder="1" applyAlignment="1">
      <alignment horizontal="center" vertical="top"/>
    </xf>
    <xf numFmtId="1" fontId="3" fillId="2" borderId="60" xfId="0" applyNumberFormat="1" applyFont="1" applyFill="1" applyBorder="1" applyAlignment="1">
      <alignment horizontal="center" vertical="center"/>
    </xf>
    <xf numFmtId="1" fontId="3" fillId="2" borderId="61" xfId="0" applyNumberFormat="1" applyFont="1" applyFill="1" applyBorder="1" applyAlignment="1">
      <alignment horizontal="center" vertical="center"/>
    </xf>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0" xfId="1" applyNumberFormat="1" applyFont="1" applyFill="1" applyBorder="1" applyProtection="1"/>
    <xf numFmtId="172" fontId="5" fillId="38" borderId="61" xfId="1" applyNumberFormat="1" applyFont="1" applyFill="1" applyBorder="1" applyProtection="1"/>
    <xf numFmtId="172" fontId="5" fillId="38" borderId="62" xfId="1" applyNumberFormat="1" applyFont="1" applyFill="1" applyBorder="1" applyProtection="1"/>
    <xf numFmtId="172" fontId="5" fillId="38" borderId="63"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 fontId="3" fillId="2" borderId="60" xfId="0" applyNumberFormat="1" applyFont="1" applyFill="1" applyBorder="1" applyAlignment="1">
      <alignment horizontal="center" vertical="center" wrapText="1"/>
    </xf>
    <xf numFmtId="172" fontId="5" fillId="38" borderId="72" xfId="1" applyNumberFormat="1" applyFont="1" applyFill="1" applyBorder="1" applyProtection="1"/>
    <xf numFmtId="172" fontId="5" fillId="38" borderId="73" xfId="1" applyNumberFormat="1" applyFont="1" applyFill="1" applyBorder="1" applyProtection="1"/>
    <xf numFmtId="172" fontId="5" fillId="38" borderId="74" xfId="1" applyNumberFormat="1" applyFont="1" applyFill="1" applyBorder="1" applyProtection="1"/>
    <xf numFmtId="165" fontId="5" fillId="52" borderId="69" xfId="2" applyNumberFormat="1" applyFont="1" applyFill="1" applyBorder="1" applyAlignment="1">
      <alignment vertical="center"/>
    </xf>
    <xf numFmtId="165" fontId="5" fillId="52" borderId="71" xfId="2" applyNumberFormat="1" applyFont="1" applyFill="1" applyBorder="1" applyAlignment="1">
      <alignment vertical="center"/>
    </xf>
    <xf numFmtId="165" fontId="5" fillId="52" borderId="60" xfId="2" applyNumberFormat="1" applyFont="1" applyFill="1" applyBorder="1" applyAlignment="1">
      <alignment vertical="center"/>
    </xf>
    <xf numFmtId="165" fontId="5" fillId="52" borderId="62" xfId="2" applyNumberFormat="1" applyFont="1" applyFill="1" applyBorder="1" applyAlignment="1">
      <alignment vertical="center"/>
    </xf>
    <xf numFmtId="10" fontId="0" fillId="51" borderId="72" xfId="0" applyNumberFormat="1" applyFill="1" applyBorder="1" applyAlignment="1">
      <alignment horizontal="right" vertical="top"/>
    </xf>
    <xf numFmtId="10" fontId="0" fillId="51" borderId="73" xfId="0" applyNumberFormat="1" applyFill="1" applyBorder="1" applyAlignment="1">
      <alignment horizontal="right" vertical="top"/>
    </xf>
    <xf numFmtId="10" fontId="0" fillId="51" borderId="74" xfId="0" applyNumberFormat="1" applyFill="1" applyBorder="1" applyAlignment="1">
      <alignment horizontal="right" vertical="top"/>
    </xf>
    <xf numFmtId="178" fontId="0" fillId="51" borderId="72" xfId="0" applyNumberFormat="1" applyFill="1" applyBorder="1" applyAlignment="1">
      <alignment horizontal="right" vertical="top"/>
    </xf>
    <xf numFmtId="178" fontId="0" fillId="51" borderId="73" xfId="0" applyNumberFormat="1" applyFill="1" applyBorder="1" applyAlignment="1">
      <alignment horizontal="right" vertical="top"/>
    </xf>
    <xf numFmtId="178" fontId="0" fillId="51" borderId="74" xfId="0" applyNumberFormat="1" applyFill="1" applyBorder="1" applyAlignment="1">
      <alignment horizontal="right" vertical="top"/>
    </xf>
    <xf numFmtId="173" fontId="0" fillId="54" borderId="72" xfId="0" applyNumberFormat="1" applyFont="1" applyFill="1" applyBorder="1" applyAlignment="1">
      <alignment horizontal="right"/>
    </xf>
    <xf numFmtId="0" fontId="3" fillId="53" borderId="0" xfId="0" applyFont="1" applyFill="1" applyAlignment="1">
      <alignment horizontal="left" vertical="top"/>
    </xf>
    <xf numFmtId="1" fontId="3" fillId="2" borderId="72" xfId="0" applyNumberFormat="1" applyFont="1" applyFill="1" applyBorder="1" applyAlignment="1">
      <alignment horizontal="center" vertical="center"/>
    </xf>
    <xf numFmtId="1" fontId="3" fillId="2" borderId="73" xfId="0" applyNumberFormat="1" applyFont="1" applyFill="1" applyBorder="1" applyAlignment="1">
      <alignment horizontal="center" vertical="center"/>
    </xf>
    <xf numFmtId="1" fontId="3" fillId="2" borderId="74" xfId="0" applyNumberFormat="1" applyFont="1" applyFill="1" applyBorder="1" applyAlignment="1">
      <alignment horizontal="center" wrapText="1"/>
    </xf>
    <xf numFmtId="0" fontId="27" fillId="47" borderId="12"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66" xfId="1" applyNumberFormat="1" applyFont="1" applyFill="1" applyBorder="1" applyProtection="1"/>
    <xf numFmtId="172" fontId="6" fillId="38" borderId="67" xfId="1" applyNumberFormat="1" applyFont="1" applyFill="1" applyBorder="1" applyProtection="1"/>
    <xf numFmtId="172" fontId="6" fillId="38" borderId="68" xfId="1" applyNumberFormat="1" applyFont="1" applyFill="1" applyBorder="1" applyProtection="1"/>
    <xf numFmtId="172" fontId="6" fillId="38" borderId="60" xfId="1" applyNumberFormat="1" applyFont="1" applyFill="1" applyBorder="1" applyProtection="1"/>
    <xf numFmtId="172" fontId="6" fillId="38" borderId="61" xfId="1" applyNumberFormat="1" applyFont="1" applyFill="1" applyBorder="1" applyProtection="1"/>
    <xf numFmtId="172" fontId="6" fillId="38" borderId="62" xfId="1" applyNumberFormat="1" applyFont="1" applyFill="1" applyBorder="1" applyProtection="1"/>
    <xf numFmtId="172" fontId="6" fillId="38" borderId="72" xfId="1" applyNumberFormat="1" applyFont="1" applyFill="1" applyBorder="1" applyProtection="1"/>
    <xf numFmtId="172" fontId="6" fillId="38" borderId="73" xfId="1" applyNumberFormat="1" applyFont="1" applyFill="1" applyBorder="1" applyProtection="1"/>
    <xf numFmtId="172" fontId="6" fillId="38" borderId="74"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0" xfId="7" applyFont="1" applyFill="1" applyBorder="1" applyAlignment="1">
      <alignment horizontal="center" vertical="top"/>
    </xf>
    <xf numFmtId="0" fontId="5" fillId="0" borderId="61" xfId="7" applyFont="1" applyBorder="1" applyAlignment="1">
      <alignment horizontal="center"/>
    </xf>
    <xf numFmtId="9" fontId="0" fillId="0" borderId="62" xfId="0" applyNumberFormat="1" applyBorder="1" applyAlignment="1">
      <alignment horizontal="center"/>
    </xf>
    <xf numFmtId="0" fontId="5" fillId="42" borderId="63" xfId="7" applyFont="1" applyFill="1" applyBorder="1" applyAlignment="1">
      <alignment horizontal="center" vertical="top"/>
    </xf>
    <xf numFmtId="0" fontId="5" fillId="0" borderId="64" xfId="7" applyFont="1" applyBorder="1" applyAlignment="1">
      <alignment horizontal="center"/>
    </xf>
    <xf numFmtId="9" fontId="0" fillId="0" borderId="65" xfId="0" applyNumberFormat="1" applyBorder="1" applyAlignment="1">
      <alignment horizontal="center"/>
    </xf>
    <xf numFmtId="0" fontId="5" fillId="0" borderId="67" xfId="7" applyFont="1" applyBorder="1" applyAlignment="1">
      <alignment horizontal="center"/>
    </xf>
    <xf numFmtId="1" fontId="5" fillId="0" borderId="61" xfId="7" applyNumberFormat="1" applyFont="1" applyBorder="1" applyAlignment="1">
      <alignment horizontal="center"/>
    </xf>
    <xf numFmtId="1" fontId="5" fillId="0" borderId="64"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3" xfId="77" applyNumberFormat="1" applyFont="1" applyFill="1" applyBorder="1" applyProtection="1"/>
    <xf numFmtId="170" fontId="5" fillId="38" borderId="64" xfId="77" applyNumberFormat="1" applyFont="1" applyFill="1" applyBorder="1" applyProtection="1"/>
    <xf numFmtId="170" fontId="5" fillId="38" borderId="65" xfId="77" applyNumberFormat="1" applyFont="1" applyFill="1" applyBorder="1" applyProtection="1"/>
    <xf numFmtId="172" fontId="5" fillId="39" borderId="60" xfId="1" applyNumberFormat="1" applyFont="1" applyFill="1" applyBorder="1" applyProtection="1"/>
    <xf numFmtId="172" fontId="5" fillId="39" borderId="61" xfId="1" applyNumberFormat="1" applyFont="1" applyFill="1" applyBorder="1" applyProtection="1"/>
    <xf numFmtId="172" fontId="5" fillId="39" borderId="62" xfId="1"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7" xfId="1" applyNumberFormat="1" applyFont="1" applyFill="1" applyBorder="1" applyProtection="1"/>
    <xf numFmtId="172" fontId="5" fillId="39" borderId="68" xfId="1" applyNumberFormat="1" applyFont="1" applyFill="1" applyBorder="1" applyProtection="1"/>
    <xf numFmtId="170" fontId="5" fillId="38" borderId="69" xfId="77" applyNumberFormat="1" applyFont="1" applyFill="1" applyBorder="1" applyProtection="1"/>
    <xf numFmtId="170" fontId="5" fillId="38" borderId="70" xfId="77" applyNumberFormat="1" applyFont="1" applyFill="1" applyBorder="1" applyProtection="1"/>
    <xf numFmtId="170" fontId="5" fillId="38" borderId="71" xfId="77" applyNumberFormat="1" applyFont="1" applyFill="1" applyBorder="1" applyProtection="1"/>
    <xf numFmtId="170" fontId="6" fillId="38" borderId="60" xfId="77" applyNumberFormat="1" applyFont="1" applyFill="1" applyBorder="1" applyProtection="1"/>
    <xf numFmtId="170" fontId="6" fillId="38" borderId="61" xfId="77" applyNumberFormat="1" applyFont="1" applyFill="1" applyBorder="1" applyProtection="1"/>
    <xf numFmtId="170" fontId="6" fillId="38" borderId="62" xfId="77" applyNumberFormat="1" applyFont="1" applyFill="1" applyBorder="1" applyProtection="1"/>
    <xf numFmtId="170" fontId="6" fillId="38" borderId="72" xfId="77" applyNumberFormat="1" applyFont="1" applyFill="1" applyBorder="1" applyProtection="1"/>
    <xf numFmtId="170" fontId="6" fillId="38" borderId="73" xfId="77" applyNumberFormat="1" applyFont="1" applyFill="1" applyBorder="1" applyProtection="1"/>
    <xf numFmtId="170" fontId="6" fillId="38" borderId="74" xfId="77" applyNumberFormat="1" applyFont="1" applyFill="1" applyBorder="1" applyProtection="1"/>
    <xf numFmtId="1" fontId="3" fillId="2" borderId="62" xfId="0" applyNumberFormat="1" applyFont="1" applyFill="1" applyBorder="1" applyAlignment="1">
      <alignment horizontal="center" vertical="center" wrapText="1"/>
    </xf>
    <xf numFmtId="1" fontId="3" fillId="2" borderId="74"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0" fillId="0" borderId="0" xfId="0" applyFont="1"/>
    <xf numFmtId="0" fontId="0" fillId="0" borderId="11" xfId="0" applyBorder="1"/>
    <xf numFmtId="0" fontId="0" fillId="0" borderId="12"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2" xfId="0" applyBorder="1" applyAlignment="1">
      <alignment horizontal="center" vertical="center" wrapText="1"/>
    </xf>
    <xf numFmtId="0" fontId="0" fillId="0" borderId="60" xfId="0" applyBorder="1" applyAlignment="1">
      <alignment horizontal="left" vertical="center" wrapText="1" indent="1"/>
    </xf>
    <xf numFmtId="0" fontId="0" fillId="0" borderId="66"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4" xfId="0" applyNumberFormat="1" applyBorder="1"/>
    <xf numFmtId="10" fontId="0" fillId="0" borderId="65"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2" xfId="75" applyFont="1" applyFill="1" applyBorder="1" applyAlignment="1" applyProtection="1">
      <alignment horizontal="center" vertical="top"/>
    </xf>
    <xf numFmtId="0" fontId="5" fillId="37" borderId="73" xfId="75" applyFont="1" applyFill="1" applyBorder="1" applyAlignment="1" applyProtection="1">
      <alignment horizontal="center" vertical="top"/>
    </xf>
    <xf numFmtId="0" fontId="5" fillId="37" borderId="74"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2" xfId="0" applyNumberFormat="1" applyFill="1" applyBorder="1"/>
    <xf numFmtId="170" fontId="0" fillId="52" borderId="73" xfId="0" applyNumberFormat="1" applyFill="1" applyBorder="1"/>
    <xf numFmtId="170" fontId="0" fillId="52" borderId="74"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2" xfId="0" applyNumberFormat="1" applyFill="1" applyBorder="1" applyAlignment="1">
      <alignment horizontal="right"/>
    </xf>
    <xf numFmtId="170" fontId="0" fillId="52" borderId="73" xfId="0" applyNumberFormat="1" applyFill="1" applyBorder="1" applyAlignment="1">
      <alignment horizontal="right"/>
    </xf>
    <xf numFmtId="170" fontId="0" fillId="52" borderId="74" xfId="0" applyNumberFormat="1" applyFill="1" applyBorder="1" applyAlignment="1">
      <alignment horizontal="right"/>
    </xf>
    <xf numFmtId="172" fontId="5" fillId="39" borderId="86" xfId="1" applyNumberFormat="1" applyFont="1" applyFill="1" applyBorder="1" applyProtection="1"/>
    <xf numFmtId="172" fontId="5" fillId="39" borderId="82" xfId="1" applyNumberFormat="1" applyFont="1" applyFill="1" applyBorder="1" applyProtection="1"/>
    <xf numFmtId="172" fontId="5" fillId="39" borderId="83" xfId="1" applyNumberFormat="1" applyFont="1" applyFill="1" applyBorder="1" applyProtection="1"/>
    <xf numFmtId="172" fontId="6" fillId="38" borderId="86" xfId="1" applyNumberFormat="1" applyFont="1" applyFill="1" applyBorder="1" applyProtection="1"/>
    <xf numFmtId="172" fontId="5" fillId="39" borderId="87"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88"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2" xfId="77" applyNumberFormat="1" applyFont="1" applyFill="1" applyBorder="1" applyAlignment="1" applyProtection="1">
      <alignment horizontal="center"/>
    </xf>
    <xf numFmtId="0" fontId="27" fillId="47" borderId="89" xfId="75" applyFont="1" applyFill="1" applyBorder="1" applyAlignment="1" applyProtection="1"/>
    <xf numFmtId="0" fontId="25" fillId="47" borderId="22" xfId="90" applyFont="1" applyFill="1" applyBorder="1" applyAlignment="1">
      <alignment horizontal="left"/>
    </xf>
    <xf numFmtId="0" fontId="26" fillId="47" borderId="22" xfId="75" applyFont="1" applyFill="1" applyBorder="1" applyAlignment="1" applyProtection="1"/>
    <xf numFmtId="0" fontId="27" fillId="47" borderId="22" xfId="75" applyFont="1" applyFill="1" applyBorder="1" applyAlignment="1" applyProtection="1"/>
    <xf numFmtId="0" fontId="25" fillId="47" borderId="89" xfId="90" applyFont="1" applyFill="1" applyBorder="1" applyAlignment="1">
      <alignment horizontal="left"/>
    </xf>
    <xf numFmtId="0" fontId="27" fillId="47" borderId="91"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89"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2"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2" xfId="0" applyFill="1" applyBorder="1"/>
    <xf numFmtId="0" fontId="0" fillId="47" borderId="22" xfId="0" applyFill="1" applyBorder="1" applyAlignment="1">
      <alignment horizontal="center" vertical="center"/>
    </xf>
    <xf numFmtId="0" fontId="25" fillId="47" borderId="89" xfId="90" applyFont="1" applyFill="1" applyBorder="1" applyAlignment="1">
      <alignment horizontal="center" vertical="center"/>
    </xf>
    <xf numFmtId="0" fontId="25" fillId="47" borderId="22" xfId="90" applyFont="1" applyFill="1" applyBorder="1" applyAlignment="1">
      <alignment horizontal="center" vertical="center"/>
    </xf>
    <xf numFmtId="0" fontId="30" fillId="47" borderId="89" xfId="90" applyFont="1" applyFill="1" applyBorder="1" applyAlignment="1">
      <alignment horizontal="left"/>
    </xf>
    <xf numFmtId="0" fontId="30" fillId="47" borderId="89" xfId="90" applyFont="1" applyFill="1" applyBorder="1" applyAlignment="1">
      <alignment horizontal="center" vertical="center"/>
    </xf>
    <xf numFmtId="1" fontId="3" fillId="2" borderId="74"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53" borderId="0" xfId="0" applyFill="1" applyAlignment="1">
      <alignment wrapText="1"/>
    </xf>
    <xf numFmtId="0" fontId="29" fillId="0" borderId="0" xfId="92" applyAlignment="1">
      <alignment horizontal="left" indent="1"/>
    </xf>
    <xf numFmtId="0" fontId="0" fillId="42" borderId="64" xfId="0" applyFill="1" applyBorder="1" applyAlignment="1">
      <alignment horizontal="left" vertical="top" wrapText="1"/>
    </xf>
    <xf numFmtId="0" fontId="0" fillId="42" borderId="67"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68"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0" borderId="90" xfId="0" applyBorder="1"/>
    <xf numFmtId="0" fontId="0" fillId="0" borderId="89" xfId="0" applyBorder="1"/>
    <xf numFmtId="0" fontId="0" fillId="0" borderId="91" xfId="0" applyBorder="1"/>
    <xf numFmtId="348" fontId="242" fillId="0" borderId="0" xfId="0" applyNumberFormat="1" applyFont="1" applyFill="1" applyBorder="1" applyAlignment="1">
      <alignment vertical="center"/>
    </xf>
    <xf numFmtId="10" fontId="0" fillId="0" borderId="61" xfId="0" applyNumberFormat="1" applyBorder="1"/>
    <xf numFmtId="10" fontId="0" fillId="0" borderId="62" xfId="0" applyNumberFormat="1" applyBorder="1"/>
    <xf numFmtId="10" fontId="0" fillId="0" borderId="67" xfId="0" applyNumberFormat="1" applyBorder="1"/>
    <xf numFmtId="0" fontId="0" fillId="0" borderId="60" xfId="0" applyBorder="1" applyAlignment="1">
      <alignment horizontal="left" indent="1"/>
    </xf>
    <xf numFmtId="0" fontId="0" fillId="0" borderId="63" xfId="0" applyBorder="1" applyAlignment="1">
      <alignment horizontal="left" indent="1"/>
    </xf>
    <xf numFmtId="0" fontId="0" fillId="0" borderId="66" xfId="0" applyBorder="1" applyAlignment="1">
      <alignment horizontal="left" indent="1"/>
    </xf>
    <xf numFmtId="0" fontId="0" fillId="0" borderId="0" xfId="0" applyBorder="1" applyAlignment="1">
      <alignment horizontal="left" indent="1"/>
    </xf>
    <xf numFmtId="170" fontId="0" fillId="0" borderId="60" xfId="77" applyNumberFormat="1" applyFont="1" applyBorder="1"/>
    <xf numFmtId="170" fontId="0" fillId="0" borderId="63" xfId="77" applyNumberFormat="1" applyFont="1" applyBorder="1" applyAlignment="1">
      <alignment horizontal="center"/>
    </xf>
    <xf numFmtId="10" fontId="0" fillId="0" borderId="64" xfId="77" applyNumberFormat="1" applyFont="1" applyBorder="1" applyAlignment="1">
      <alignment horizontal="center"/>
    </xf>
    <xf numFmtId="170" fontId="0" fillId="0" borderId="64" xfId="77" applyNumberFormat="1" applyFont="1" applyBorder="1" applyAlignment="1">
      <alignment horizontal="center"/>
    </xf>
    <xf numFmtId="170" fontId="0" fillId="0" borderId="66" xfId="77" applyNumberFormat="1" applyFont="1" applyBorder="1" applyAlignment="1">
      <alignment horizontal="center"/>
    </xf>
    <xf numFmtId="10" fontId="0" fillId="0" borderId="67" xfId="77" applyNumberFormat="1" applyFont="1" applyBorder="1" applyAlignment="1">
      <alignment horizontal="center"/>
    </xf>
    <xf numFmtId="170" fontId="0" fillId="0" borderId="67" xfId="77" applyNumberFormat="1" applyFont="1" applyBorder="1" applyAlignment="1">
      <alignment horizontal="center"/>
    </xf>
    <xf numFmtId="1" fontId="3" fillId="2" borderId="62" xfId="0" applyNumberFormat="1" applyFont="1" applyFill="1" applyBorder="1" applyAlignment="1">
      <alignment horizontal="center" vertical="center"/>
    </xf>
    <xf numFmtId="0" fontId="0" fillId="0" borderId="11" xfId="0" applyBorder="1" applyAlignment="1">
      <alignment horizontal="left" indent="1"/>
    </xf>
    <xf numFmtId="0" fontId="3" fillId="0" borderId="11" xfId="0" applyFont="1" applyBorder="1" applyAlignment="1">
      <alignment horizontal="left" indent="1"/>
    </xf>
    <xf numFmtId="10" fontId="0" fillId="0" borderId="66"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7" xfId="0" applyBorder="1" applyAlignment="1">
      <alignment horizontal="center"/>
    </xf>
    <xf numFmtId="0" fontId="0" fillId="0" borderId="68" xfId="0" applyBorder="1" applyAlignment="1">
      <alignment horizontal="center"/>
    </xf>
    <xf numFmtId="0" fontId="243" fillId="0" borderId="62" xfId="0" applyFont="1" applyBorder="1" applyAlignment="1">
      <alignment horizontal="center"/>
    </xf>
    <xf numFmtId="0" fontId="243" fillId="0" borderId="65" xfId="0" applyFont="1" applyBorder="1" applyAlignment="1">
      <alignment horizontal="center"/>
    </xf>
    <xf numFmtId="0" fontId="243" fillId="0" borderId="68" xfId="0" applyFont="1" applyBorder="1" applyAlignment="1">
      <alignment horizontal="center"/>
    </xf>
    <xf numFmtId="0" fontId="21" fillId="0" borderId="0" xfId="0" applyFont="1" applyAlignment="1">
      <alignment horizontal="center"/>
    </xf>
    <xf numFmtId="0" fontId="0" fillId="0" borderId="78" xfId="0" applyBorder="1" applyAlignment="1">
      <alignment horizontal="left" vertical="center" indent="1"/>
    </xf>
    <xf numFmtId="0" fontId="0" fillId="42" borderId="63" xfId="0" applyFill="1" applyBorder="1" applyAlignment="1">
      <alignment horizontal="left" vertical="center" wrapText="1" indent="1"/>
    </xf>
    <xf numFmtId="0" fontId="29" fillId="42" borderId="63" xfId="92" applyFill="1" applyBorder="1" applyAlignment="1">
      <alignment horizontal="left" vertical="center" wrapText="1" indent="1"/>
    </xf>
    <xf numFmtId="0" fontId="29" fillId="42" borderId="66"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4" xfId="0" applyBorder="1" applyAlignment="1">
      <alignment horizontal="center"/>
    </xf>
    <xf numFmtId="0" fontId="0" fillId="0" borderId="65" xfId="0" applyBorder="1" applyAlignment="1">
      <alignment horizontal="center"/>
    </xf>
    <xf numFmtId="1" fontId="0" fillId="0" borderId="12" xfId="0" applyNumberFormat="1" applyBorder="1" applyAlignment="1">
      <alignment horizontal="center"/>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3" xfId="1" applyNumberFormat="1" applyFont="1" applyFill="1" applyBorder="1" applyProtection="1"/>
    <xf numFmtId="172" fontId="5" fillId="38" borderId="99" xfId="1" applyNumberFormat="1" applyFont="1" applyFill="1" applyBorder="1" applyProtection="1"/>
    <xf numFmtId="172" fontId="5" fillId="38" borderId="101" xfId="1" applyNumberFormat="1" applyFont="1" applyFill="1" applyBorder="1" applyProtection="1"/>
    <xf numFmtId="172" fontId="6" fillId="38" borderId="99" xfId="1" applyNumberFormat="1" applyFont="1" applyFill="1" applyBorder="1" applyProtection="1"/>
    <xf numFmtId="14" fontId="5" fillId="42" borderId="0" xfId="2" applyNumberFormat="1" applyFont="1" applyFill="1" applyBorder="1" applyAlignment="1">
      <alignment horizontal="center" vertical="center"/>
    </xf>
    <xf numFmtId="0" fontId="0" fillId="0" borderId="22" xfId="0" applyFill="1" applyBorder="1"/>
    <xf numFmtId="0" fontId="0" fillId="0" borderId="0" xfId="0" applyFill="1" applyBorder="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1" xfId="75" applyNumberFormat="1" applyFont="1" applyFill="1" applyBorder="1" applyAlignment="1" applyProtection="1">
      <alignment horizontal="center"/>
    </xf>
    <xf numFmtId="173" fontId="5" fillId="36" borderId="64" xfId="75" applyNumberFormat="1" applyFont="1" applyFill="1" applyBorder="1" applyAlignment="1" applyProtection="1">
      <alignment horizontal="center"/>
    </xf>
    <xf numFmtId="173" fontId="5" fillId="116" borderId="67" xfId="7" applyNumberFormat="1" applyFont="1" applyFill="1" applyBorder="1" applyAlignment="1">
      <alignment horizontal="center"/>
    </xf>
    <xf numFmtId="173" fontId="5" fillId="116" borderId="64" xfId="7" applyNumberFormat="1" applyFont="1" applyFill="1" applyBorder="1" applyAlignment="1">
      <alignment horizontal="center"/>
    </xf>
    <xf numFmtId="172" fontId="0" fillId="51" borderId="73" xfId="1" applyNumberFormat="1" applyFont="1" applyFill="1" applyBorder="1" applyAlignment="1">
      <alignment horizontal="right" vertical="top"/>
    </xf>
    <xf numFmtId="172" fontId="0" fillId="51" borderId="74" xfId="1" applyNumberFormat="1" applyFont="1" applyFill="1" applyBorder="1" applyAlignment="1">
      <alignment horizontal="right" vertical="top"/>
    </xf>
    <xf numFmtId="173" fontId="0" fillId="0" borderId="69" xfId="0" applyNumberFormat="1" applyFont="1" applyFill="1" applyBorder="1" applyAlignment="1">
      <alignment horizontal="right"/>
    </xf>
    <xf numFmtId="173" fontId="0" fillId="0" borderId="70" xfId="0" applyNumberFormat="1" applyFont="1" applyFill="1" applyBorder="1" applyAlignment="1">
      <alignment horizontal="right"/>
    </xf>
    <xf numFmtId="0" fontId="0" fillId="0" borderId="72" xfId="0" applyFont="1" applyBorder="1" applyAlignment="1">
      <alignment horizontal="center" vertical="top"/>
    </xf>
    <xf numFmtId="0" fontId="0" fillId="0" borderId="73" xfId="0" applyFont="1" applyBorder="1" applyAlignment="1">
      <alignment horizontal="center" vertical="top"/>
    </xf>
    <xf numFmtId="0" fontId="0" fillId="0" borderId="74"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89" xfId="90" applyFont="1" applyFill="1" applyBorder="1" applyAlignment="1">
      <alignment horizontal="center"/>
    </xf>
    <xf numFmtId="0" fontId="0" fillId="0" borderId="0" xfId="0" applyFill="1" applyBorder="1" applyAlignment="1">
      <alignment horizontal="left" indent="1"/>
    </xf>
    <xf numFmtId="10" fontId="0" fillId="3" borderId="63" xfId="0" applyNumberFormat="1" applyFill="1" applyBorder="1"/>
    <xf numFmtId="10" fontId="0" fillId="3" borderId="64" xfId="0" applyNumberFormat="1" applyFill="1" applyBorder="1"/>
    <xf numFmtId="10" fontId="0" fillId="3" borderId="65" xfId="0" applyNumberFormat="1" applyFill="1" applyBorder="1"/>
    <xf numFmtId="10" fontId="5" fillId="52" borderId="72" xfId="2" applyNumberFormat="1" applyFont="1" applyFill="1" applyBorder="1"/>
    <xf numFmtId="10" fontId="5" fillId="52" borderId="73" xfId="2" applyNumberFormat="1" applyFont="1" applyFill="1" applyBorder="1"/>
    <xf numFmtId="10" fontId="5" fillId="52" borderId="74" xfId="2" applyNumberFormat="1" applyFont="1" applyFill="1" applyBorder="1"/>
    <xf numFmtId="10" fontId="0" fillId="51" borderId="60" xfId="0" applyNumberFormat="1" applyFill="1" applyBorder="1" applyAlignment="1">
      <alignment horizontal="right" vertical="top"/>
    </xf>
    <xf numFmtId="10" fontId="0" fillId="51" borderId="61" xfId="0" applyNumberFormat="1" applyFill="1" applyBorder="1" applyAlignment="1">
      <alignment horizontal="right" vertical="top"/>
    </xf>
    <xf numFmtId="10" fontId="0" fillId="51" borderId="62" xfId="0" applyNumberFormat="1" applyFill="1" applyBorder="1" applyAlignment="1">
      <alignment horizontal="right" vertical="top"/>
    </xf>
    <xf numFmtId="170" fontId="0" fillId="51" borderId="63" xfId="0" applyNumberFormat="1" applyFill="1" applyBorder="1" applyAlignment="1">
      <alignment horizontal="right" vertical="top"/>
    </xf>
    <xf numFmtId="170" fontId="0" fillId="51" borderId="64" xfId="0" applyNumberFormat="1" applyFill="1" applyBorder="1" applyAlignment="1">
      <alignment horizontal="right" vertical="top"/>
    </xf>
    <xf numFmtId="170" fontId="0" fillId="51" borderId="65" xfId="0" applyNumberFormat="1" applyFill="1" applyBorder="1" applyAlignment="1">
      <alignment horizontal="right" vertical="top"/>
    </xf>
    <xf numFmtId="17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0" fontId="0" fillId="0" borderId="69" xfId="0" applyBorder="1" applyAlignment="1">
      <alignment horizontal="left" indent="1"/>
    </xf>
    <xf numFmtId="10" fontId="0" fillId="0" borderId="70" xfId="0" applyNumberFormat="1" applyBorder="1"/>
    <xf numFmtId="10" fontId="0" fillId="0" borderId="71" xfId="0" applyNumberFormat="1" applyBorder="1"/>
    <xf numFmtId="0" fontId="0" fillId="53" borderId="0" xfId="0" applyFill="1" applyBorder="1"/>
    <xf numFmtId="0" fontId="0" fillId="0" borderId="80" xfId="0" applyBorder="1"/>
    <xf numFmtId="1" fontId="3" fillId="53" borderId="72" xfId="0" applyNumberFormat="1" applyFont="1" applyFill="1" applyBorder="1" applyAlignment="1">
      <alignment horizontal="center" vertical="center"/>
    </xf>
    <xf numFmtId="1" fontId="3" fillId="53" borderId="73" xfId="0" applyNumberFormat="1" applyFont="1" applyFill="1" applyBorder="1" applyAlignment="1">
      <alignment horizontal="center" vertical="center"/>
    </xf>
    <xf numFmtId="1" fontId="3" fillId="53" borderId="74"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10" fontId="0" fillId="0" borderId="64" xfId="0" applyNumberFormat="1" applyFill="1" applyBorder="1"/>
    <xf numFmtId="10" fontId="0" fillId="0" borderId="67" xfId="0" applyNumberFormat="1" applyFill="1" applyBorder="1"/>
    <xf numFmtId="10" fontId="0" fillId="0" borderId="63" xfId="0" applyNumberFormat="1" applyFill="1" applyBorder="1"/>
    <xf numFmtId="10" fontId="0" fillId="0" borderId="66" xfId="0" applyNumberFormat="1" applyFill="1" applyBorder="1"/>
    <xf numFmtId="10" fontId="0" fillId="0" borderId="65" xfId="0" applyNumberFormat="1" applyFill="1" applyBorder="1"/>
    <xf numFmtId="10" fontId="0" fillId="3" borderId="61" xfId="0" applyNumberFormat="1" applyFill="1" applyBorder="1"/>
    <xf numFmtId="10" fontId="0" fillId="3" borderId="62" xfId="0" applyNumberFormat="1" applyFill="1" applyBorder="1"/>
    <xf numFmtId="0" fontId="0" fillId="0" borderId="79" xfId="0" applyBorder="1" applyAlignment="1">
      <alignment horizontal="left" indent="1"/>
    </xf>
    <xf numFmtId="0" fontId="0" fillId="0" borderId="80"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01" xfId="89" applyNumberFormat="1" applyFont="1" applyFill="1" applyBorder="1" applyAlignment="1">
      <alignment horizontal="left" indent="1"/>
    </xf>
    <xf numFmtId="3" fontId="5" fillId="0" borderId="99" xfId="89" applyNumberFormat="1" applyFont="1" applyFill="1" applyBorder="1" applyAlignment="1">
      <alignment horizontal="left" indent="1"/>
    </xf>
    <xf numFmtId="173" fontId="0" fillId="0" borderId="61" xfId="0" applyNumberFormat="1" applyFill="1" applyBorder="1" applyAlignment="1">
      <alignment horizontal="right" indent="1"/>
    </xf>
    <xf numFmtId="173" fontId="0" fillId="0" borderId="62" xfId="0" applyNumberFormat="1" applyFill="1" applyBorder="1" applyAlignment="1">
      <alignment horizontal="right" indent="1"/>
    </xf>
    <xf numFmtId="173" fontId="0" fillId="0" borderId="64" xfId="0" applyNumberFormat="1" applyFill="1" applyBorder="1" applyAlignment="1">
      <alignment horizontal="right" indent="1"/>
    </xf>
    <xf numFmtId="173" fontId="0" fillId="0" borderId="65" xfId="0" applyNumberFormat="1" applyFill="1" applyBorder="1" applyAlignment="1">
      <alignment horizontal="right" indent="1"/>
    </xf>
    <xf numFmtId="173" fontId="0" fillId="0" borderId="63"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7"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165" fontId="5" fillId="3" borderId="60" xfId="2" applyNumberFormat="1" applyFont="1" applyFill="1" applyBorder="1" applyAlignment="1">
      <alignment vertical="center"/>
    </xf>
    <xf numFmtId="9" fontId="5" fillId="52" borderId="66" xfId="75" applyNumberFormat="1" applyFont="1" applyFill="1" applyBorder="1" applyAlignment="1" applyProtection="1">
      <alignment vertical="top"/>
    </xf>
    <xf numFmtId="9" fontId="5" fillId="52" borderId="67" xfId="75" applyNumberFormat="1" applyFont="1" applyFill="1" applyBorder="1" applyAlignment="1" applyProtection="1">
      <alignment vertical="top"/>
    </xf>
    <xf numFmtId="9" fontId="5" fillId="52" borderId="68" xfId="75" applyNumberFormat="1" applyFont="1" applyFill="1" applyBorder="1" applyAlignment="1" applyProtection="1">
      <alignment vertical="top"/>
    </xf>
    <xf numFmtId="178" fontId="5" fillId="0" borderId="64" xfId="7" applyNumberFormat="1" applyFont="1" applyBorder="1" applyAlignment="1">
      <alignment horizontal="center"/>
    </xf>
    <xf numFmtId="178" fontId="0" fillId="0" borderId="64" xfId="0" applyNumberFormat="1" applyBorder="1" applyAlignment="1">
      <alignment horizontal="center"/>
    </xf>
    <xf numFmtId="178" fontId="0" fillId="0" borderId="65" xfId="0" applyNumberFormat="1" applyBorder="1" applyAlignment="1">
      <alignment horizontal="center"/>
    </xf>
    <xf numFmtId="178" fontId="5" fillId="0" borderId="64" xfId="7" applyNumberFormat="1" applyFont="1" applyFill="1" applyBorder="1" applyAlignment="1">
      <alignment horizontal="center" vertical="center"/>
    </xf>
    <xf numFmtId="178" fontId="5" fillId="0" borderId="67" xfId="7" applyNumberFormat="1" applyFont="1" applyFill="1" applyBorder="1" applyAlignment="1">
      <alignment horizontal="center" vertical="center"/>
    </xf>
    <xf numFmtId="0" fontId="5" fillId="0" borderId="60" xfId="7" applyFont="1" applyFill="1" applyBorder="1" applyAlignment="1">
      <alignment horizontal="left" vertical="center" wrapText="1" indent="1"/>
    </xf>
    <xf numFmtId="0" fontId="5" fillId="0" borderId="66" xfId="7" applyFont="1" applyFill="1" applyBorder="1" applyAlignment="1">
      <alignment horizontal="left" vertical="center" wrapText="1" indent="1"/>
    </xf>
    <xf numFmtId="173" fontId="5" fillId="3" borderId="61" xfId="7" applyNumberFormat="1" applyFont="1" applyFill="1" applyBorder="1" applyAlignment="1">
      <alignment horizontal="center"/>
    </xf>
    <xf numFmtId="173" fontId="5" fillId="3" borderId="64" xfId="7" applyNumberFormat="1" applyFont="1" applyFill="1" applyBorder="1" applyAlignment="1">
      <alignment horizontal="center"/>
    </xf>
    <xf numFmtId="173" fontId="5" fillId="52" borderId="64" xfId="7" applyNumberFormat="1" applyFont="1" applyFill="1" applyBorder="1" applyAlignment="1">
      <alignment horizontal="center"/>
    </xf>
    <xf numFmtId="2" fontId="5" fillId="0" borderId="63" xfId="7" applyNumberFormat="1" applyFont="1" applyFill="1" applyBorder="1" applyAlignment="1">
      <alignment horizontal="center"/>
    </xf>
    <xf numFmtId="1" fontId="5" fillId="0" borderId="64" xfId="7" applyNumberFormat="1" applyFont="1" applyFill="1" applyBorder="1" applyAlignment="1">
      <alignment horizontal="center"/>
    </xf>
    <xf numFmtId="2" fontId="5" fillId="0" borderId="66" xfId="7" applyNumberFormat="1" applyFont="1" applyFill="1" applyBorder="1" applyAlignment="1">
      <alignment horizontal="center"/>
    </xf>
    <xf numFmtId="1" fontId="5" fillId="0" borderId="67" xfId="7" applyNumberFormat="1" applyFont="1" applyFill="1" applyBorder="1" applyAlignment="1">
      <alignment horizontal="center"/>
    </xf>
    <xf numFmtId="178" fontId="0" fillId="51" borderId="72" xfId="1" applyNumberFormat="1" applyFont="1" applyFill="1" applyBorder="1" applyAlignment="1">
      <alignment horizontal="right"/>
    </xf>
    <xf numFmtId="0" fontId="0" fillId="0" borderId="0" xfId="0" applyFont="1" applyAlignment="1">
      <alignment horizontal="left" vertical="top" indent="1"/>
    </xf>
    <xf numFmtId="170" fontId="5" fillId="38" borderId="60" xfId="77" applyNumberFormat="1" applyFont="1" applyFill="1" applyBorder="1" applyProtection="1"/>
    <xf numFmtId="170" fontId="5" fillId="38" borderId="62" xfId="77" applyNumberFormat="1" applyFont="1" applyFill="1" applyBorder="1" applyProtection="1"/>
    <xf numFmtId="170" fontId="5" fillId="38" borderId="61"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2" xfId="2" applyNumberFormat="1" applyFont="1" applyFill="1" applyBorder="1" applyAlignment="1">
      <alignment horizontal="center"/>
    </xf>
    <xf numFmtId="347" fontId="5" fillId="54" borderId="73" xfId="2" applyNumberFormat="1" applyFont="1" applyFill="1" applyBorder="1" applyAlignment="1">
      <alignment horizontal="center"/>
    </xf>
    <xf numFmtId="347" fontId="5" fillId="54" borderId="74" xfId="2" applyNumberFormat="1" applyFont="1" applyFill="1" applyBorder="1" applyAlignment="1">
      <alignment horizontal="center"/>
    </xf>
    <xf numFmtId="164" fontId="0" fillId="0" borderId="0" xfId="1" applyFont="1"/>
    <xf numFmtId="172" fontId="5" fillId="38" borderId="69" xfId="1" applyNumberFormat="1" applyFont="1" applyFill="1" applyBorder="1" applyProtection="1"/>
    <xf numFmtId="172" fontId="5" fillId="38" borderId="70" xfId="1" applyNumberFormat="1" applyFont="1" applyFill="1" applyBorder="1" applyProtection="1"/>
    <xf numFmtId="172" fontId="5" fillId="38" borderId="71"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1" fontId="0" fillId="0" borderId="72" xfId="0" applyNumberFormat="1" applyFont="1" applyFill="1" applyBorder="1" applyAlignment="1">
      <alignment horizontal="right" vertical="top"/>
    </xf>
    <xf numFmtId="1" fontId="0" fillId="0" borderId="73" xfId="0" applyNumberFormat="1" applyFont="1" applyFill="1" applyBorder="1" applyAlignment="1">
      <alignment horizontal="right" vertical="top"/>
    </xf>
    <xf numFmtId="1" fontId="0" fillId="0" borderId="74"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245" fillId="0" borderId="73" xfId="7" applyFont="1" applyFill="1" applyBorder="1" applyAlignment="1">
      <alignment horizontal="center" vertical="center" wrapText="1"/>
    </xf>
    <xf numFmtId="0" fontId="245" fillId="0" borderId="74" xfId="7" applyFont="1" applyFill="1" applyBorder="1" applyAlignment="1">
      <alignment horizontal="center" vertical="center" wrapText="1"/>
    </xf>
    <xf numFmtId="0" fontId="0" fillId="118" borderId="11" xfId="0" applyFill="1" applyBorder="1"/>
    <xf numFmtId="0" fontId="0" fillId="118" borderId="0" xfId="0" applyFill="1" applyBorder="1"/>
    <xf numFmtId="0" fontId="0" fillId="118" borderId="12" xfId="0" applyFill="1" applyBorder="1"/>
    <xf numFmtId="0" fontId="0" fillId="118" borderId="89" xfId="0" applyFill="1" applyBorder="1"/>
    <xf numFmtId="0" fontId="0" fillId="118" borderId="91" xfId="0" applyFill="1" applyBorder="1"/>
    <xf numFmtId="173" fontId="0" fillId="118" borderId="60" xfId="0" applyNumberFormat="1" applyFill="1" applyBorder="1" applyAlignment="1">
      <alignment horizontal="right" indent="1"/>
    </xf>
    <xf numFmtId="173" fontId="0" fillId="118" borderId="61" xfId="0" applyNumberFormat="1" applyFill="1" applyBorder="1" applyAlignment="1">
      <alignment horizontal="right" indent="1"/>
    </xf>
    <xf numFmtId="173" fontId="0" fillId="118" borderId="63" xfId="0" applyNumberFormat="1" applyFill="1" applyBorder="1" applyAlignment="1">
      <alignment horizontal="right" indent="1"/>
    </xf>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0" fontId="0" fillId="118" borderId="22" xfId="0" applyFill="1" applyBorder="1"/>
    <xf numFmtId="0" fontId="0" fillId="118" borderId="102" xfId="0" applyFill="1" applyBorder="1"/>
    <xf numFmtId="0" fontId="0" fillId="118" borderId="96" xfId="0" applyFill="1" applyBorder="1"/>
    <xf numFmtId="173" fontId="5" fillId="118" borderId="72" xfId="7" applyNumberFormat="1" applyFont="1" applyFill="1" applyBorder="1" applyAlignment="1">
      <alignment horizontal="center"/>
    </xf>
    <xf numFmtId="173" fontId="5" fillId="118" borderId="73" xfId="7" applyNumberFormat="1" applyFont="1" applyFill="1" applyBorder="1" applyAlignment="1">
      <alignment horizontal="center"/>
    </xf>
    <xf numFmtId="0" fontId="0" fillId="54" borderId="105" xfId="0" applyFill="1" applyBorder="1" applyAlignment="1">
      <alignment horizontal="right" vertical="top"/>
    </xf>
    <xf numFmtId="0" fontId="5" fillId="3" borderId="79" xfId="2" applyNumberFormat="1" applyFont="1" applyFill="1" applyBorder="1" applyAlignment="1">
      <alignment horizontal="left" vertical="top"/>
    </xf>
    <xf numFmtId="0" fontId="5" fillId="3" borderId="80" xfId="2" applyNumberFormat="1" applyFont="1" applyFill="1" applyBorder="1" applyAlignment="1">
      <alignment horizontal="left" vertical="top"/>
    </xf>
    <xf numFmtId="0" fontId="5" fillId="3" borderId="81" xfId="2" applyNumberFormat="1" applyFont="1" applyFill="1" applyBorder="1" applyAlignment="1">
      <alignment horizontal="left" vertical="top"/>
    </xf>
    <xf numFmtId="172" fontId="5" fillId="38" borderId="79" xfId="1" applyNumberFormat="1" applyFont="1" applyFill="1" applyBorder="1" applyProtection="1"/>
    <xf numFmtId="172" fontId="5" fillId="38" borderId="81" xfId="1" applyNumberFormat="1" applyFont="1" applyFill="1" applyBorder="1" applyProtection="1"/>
    <xf numFmtId="172" fontId="5" fillId="38" borderId="105" xfId="1" applyNumberFormat="1" applyFont="1" applyFill="1" applyBorder="1" applyProtection="1"/>
    <xf numFmtId="172" fontId="5" fillId="38" borderId="106" xfId="1" applyNumberFormat="1" applyFont="1" applyFill="1" applyBorder="1" applyProtection="1"/>
    <xf numFmtId="172" fontId="5" fillId="38" borderId="90" xfId="1" applyNumberFormat="1" applyFont="1" applyFill="1" applyBorder="1" applyProtection="1"/>
    <xf numFmtId="172" fontId="5" fillId="38" borderId="108" xfId="1" applyNumberFormat="1" applyFont="1" applyFill="1" applyBorder="1" applyProtection="1"/>
    <xf numFmtId="172" fontId="5" fillId="3" borderId="60" xfId="2" applyNumberFormat="1" applyFont="1" applyFill="1" applyBorder="1"/>
    <xf numFmtId="172" fontId="5" fillId="3" borderId="61" xfId="2" applyNumberFormat="1" applyFont="1" applyFill="1" applyBorder="1"/>
    <xf numFmtId="172" fontId="5" fillId="52" borderId="60" xfId="2" applyNumberFormat="1" applyFont="1" applyFill="1" applyBorder="1"/>
    <xf numFmtId="172" fontId="5" fillId="52" borderId="62" xfId="2" applyNumberFormat="1" applyFont="1" applyFill="1" applyBorder="1"/>
    <xf numFmtId="172" fontId="5" fillId="3" borderId="63" xfId="2" applyNumberFormat="1" applyFont="1" applyFill="1" applyBorder="1"/>
    <xf numFmtId="172" fontId="5" fillId="3" borderId="64" xfId="2" applyNumberFormat="1" applyFont="1" applyFill="1" applyBorder="1"/>
    <xf numFmtId="172" fontId="5" fillId="52" borderId="63" xfId="2" applyNumberFormat="1" applyFont="1" applyFill="1" applyBorder="1"/>
    <xf numFmtId="172" fontId="5" fillId="52" borderId="65" xfId="2" applyNumberFormat="1" applyFont="1" applyFill="1" applyBorder="1"/>
    <xf numFmtId="172" fontId="5" fillId="3" borderId="69" xfId="2" applyNumberFormat="1" applyFont="1" applyFill="1" applyBorder="1"/>
    <xf numFmtId="172" fontId="5" fillId="3" borderId="70" xfId="2" applyNumberFormat="1" applyFont="1" applyFill="1" applyBorder="1"/>
    <xf numFmtId="172" fontId="5" fillId="52" borderId="69" xfId="2" applyNumberFormat="1" applyFont="1" applyFill="1" applyBorder="1"/>
    <xf numFmtId="172" fontId="5" fillId="52" borderId="71" xfId="2" applyNumberFormat="1" applyFont="1" applyFill="1" applyBorder="1"/>
    <xf numFmtId="172" fontId="0" fillId="3" borderId="60" xfId="0" applyNumberFormat="1" applyFill="1" applyBorder="1" applyAlignment="1">
      <alignment horizontal="right" vertical="top"/>
    </xf>
    <xf numFmtId="172" fontId="0" fillId="3" borderId="61" xfId="0" applyNumberFormat="1" applyFill="1" applyBorder="1" applyAlignment="1">
      <alignment horizontal="right" vertical="top"/>
    </xf>
    <xf numFmtId="172" fontId="0" fillId="3" borderId="63" xfId="0" applyNumberFormat="1" applyFill="1" applyBorder="1" applyAlignment="1">
      <alignment horizontal="right" vertical="top"/>
    </xf>
    <xf numFmtId="172" fontId="0" fillId="3" borderId="64" xfId="0" applyNumberFormat="1" applyFill="1" applyBorder="1" applyAlignment="1">
      <alignment horizontal="right" vertical="top"/>
    </xf>
    <xf numFmtId="172" fontId="0" fillId="51" borderId="63" xfId="0" applyNumberFormat="1" applyFont="1" applyFill="1" applyBorder="1" applyAlignment="1">
      <alignment horizontal="right"/>
    </xf>
    <xf numFmtId="172" fontId="5" fillId="51" borderId="64" xfId="75" applyNumberFormat="1" applyFont="1" applyFill="1" applyBorder="1" applyAlignment="1" applyProtection="1">
      <alignment horizontal="right"/>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72" fontId="3" fillId="52" borderId="72" xfId="0" applyNumberFormat="1" applyFont="1" applyFill="1" applyBorder="1" applyAlignment="1">
      <alignment horizontal="right"/>
    </xf>
    <xf numFmtId="172" fontId="3" fillId="52" borderId="73" xfId="0" applyNumberFormat="1" applyFont="1" applyFill="1" applyBorder="1" applyAlignment="1">
      <alignment horizontal="right"/>
    </xf>
    <xf numFmtId="172" fontId="3" fillId="52" borderId="74" xfId="0" applyNumberFormat="1" applyFont="1" applyFill="1" applyBorder="1" applyAlignment="1">
      <alignment horizontal="right"/>
    </xf>
    <xf numFmtId="172" fontId="0" fillId="3" borderId="62"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3" fillId="52" borderId="72" xfId="0" applyNumberFormat="1" applyFont="1" applyFill="1" applyBorder="1" applyAlignment="1">
      <alignment horizontal="right" vertical="top"/>
    </xf>
    <xf numFmtId="172" fontId="3" fillId="52" borderId="73" xfId="0" applyNumberFormat="1" applyFont="1" applyFill="1" applyBorder="1" applyAlignment="1">
      <alignment horizontal="right" vertical="top"/>
    </xf>
    <xf numFmtId="172" fontId="3" fillId="52" borderId="74" xfId="0" applyNumberFormat="1" applyFont="1" applyFill="1" applyBorder="1" applyAlignment="1">
      <alignment horizontal="right" vertical="top"/>
    </xf>
    <xf numFmtId="172" fontId="0" fillId="3" borderId="60" xfId="0" applyNumberFormat="1" applyFont="1" applyFill="1" applyBorder="1" applyAlignment="1">
      <alignment horizontal="right" vertical="top"/>
    </xf>
    <xf numFmtId="172" fontId="0" fillId="3" borderId="62"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8" xfId="0" applyNumberFormat="1" applyFont="1" applyFill="1" applyBorder="1" applyAlignment="1">
      <alignment horizontal="right"/>
    </xf>
    <xf numFmtId="172" fontId="0" fillId="52" borderId="72" xfId="0" applyNumberFormat="1" applyFont="1" applyFill="1" applyBorder="1" applyAlignment="1">
      <alignment horizontal="right"/>
    </xf>
    <xf numFmtId="172" fontId="0" fillId="52" borderId="73" xfId="0" applyNumberFormat="1" applyFont="1" applyFill="1" applyBorder="1" applyAlignment="1">
      <alignment horizontal="right"/>
    </xf>
    <xf numFmtId="172" fontId="0" fillId="52" borderId="74" xfId="0" applyNumberFormat="1" applyFont="1" applyFill="1" applyBorder="1" applyAlignment="1">
      <alignment horizontal="right"/>
    </xf>
    <xf numFmtId="172" fontId="0" fillId="3" borderId="72" xfId="0" applyNumberFormat="1" applyFont="1" applyFill="1" applyBorder="1" applyAlignment="1">
      <alignment horizontal="right"/>
    </xf>
    <xf numFmtId="172" fontId="0" fillId="3" borderId="74" xfId="0" applyNumberFormat="1" applyFont="1" applyFill="1" applyBorder="1" applyAlignment="1">
      <alignment horizontal="right"/>
    </xf>
    <xf numFmtId="172" fontId="0" fillId="52" borderId="60" xfId="0" applyNumberFormat="1" applyFont="1" applyFill="1" applyBorder="1" applyAlignment="1">
      <alignment horizontal="right"/>
    </xf>
    <xf numFmtId="172" fontId="0" fillId="52" borderId="61" xfId="0" applyNumberFormat="1" applyFont="1" applyFill="1" applyBorder="1" applyAlignment="1">
      <alignment horizontal="right"/>
    </xf>
    <xf numFmtId="172" fontId="0" fillId="3" borderId="68" xfId="0" applyNumberFormat="1" applyFill="1" applyBorder="1" applyAlignment="1">
      <alignment horizontal="right" vertical="top"/>
    </xf>
    <xf numFmtId="172" fontId="3" fillId="52" borderId="60" xfId="0" applyNumberFormat="1" applyFont="1" applyFill="1" applyBorder="1" applyAlignment="1">
      <alignment horizontal="right" vertical="top"/>
    </xf>
    <xf numFmtId="172" fontId="3" fillId="52" borderId="61" xfId="0" applyNumberFormat="1" applyFont="1" applyFill="1" applyBorder="1" applyAlignment="1">
      <alignment horizontal="right" vertical="top"/>
    </xf>
    <xf numFmtId="172" fontId="0" fillId="3" borderId="72"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54" borderId="72" xfId="0" applyNumberFormat="1" applyFill="1" applyBorder="1" applyAlignment="1">
      <alignment horizontal="right" vertical="top"/>
    </xf>
    <xf numFmtId="172" fontId="0" fillId="54" borderId="73" xfId="0" applyNumberFormat="1" applyFill="1" applyBorder="1" applyAlignment="1">
      <alignment horizontal="right" vertical="top"/>
    </xf>
    <xf numFmtId="172" fontId="0" fillId="54" borderId="74" xfId="0" applyNumberFormat="1" applyFill="1" applyBorder="1" applyAlignment="1">
      <alignment horizontal="right" vertical="top"/>
    </xf>
    <xf numFmtId="172" fontId="0" fillId="51" borderId="72" xfId="0" quotePrefix="1" applyNumberFormat="1" applyFill="1" applyBorder="1" applyAlignment="1">
      <alignment horizontal="right" vertical="top"/>
    </xf>
    <xf numFmtId="172" fontId="0" fillId="51" borderId="73" xfId="0" quotePrefix="1" applyNumberFormat="1" applyFill="1" applyBorder="1" applyAlignment="1">
      <alignment horizontal="right" vertical="top"/>
    </xf>
    <xf numFmtId="172" fontId="0" fillId="52" borderId="72" xfId="0" applyNumberFormat="1" applyFont="1" applyFill="1" applyBorder="1" applyAlignment="1">
      <alignment horizontal="right" vertical="top"/>
    </xf>
    <xf numFmtId="172" fontId="0" fillId="52" borderId="73" xfId="0" applyNumberFormat="1" applyFont="1" applyFill="1" applyBorder="1" applyAlignment="1">
      <alignment horizontal="right" vertical="top"/>
    </xf>
    <xf numFmtId="172" fontId="0" fillId="52" borderId="74" xfId="0" applyNumberFormat="1" applyFont="1" applyFill="1" applyBorder="1" applyAlignment="1">
      <alignment horizontal="right" vertical="top"/>
    </xf>
    <xf numFmtId="172" fontId="5" fillId="3" borderId="60" xfId="2" applyNumberFormat="1" applyFont="1" applyFill="1" applyBorder="1" applyAlignment="1">
      <alignment vertical="center"/>
    </xf>
    <xf numFmtId="172" fontId="5" fillId="3" borderId="61" xfId="2" applyNumberFormat="1" applyFont="1" applyFill="1" applyBorder="1" applyAlignment="1">
      <alignment vertical="center"/>
    </xf>
    <xf numFmtId="172" fontId="5" fillId="52" borderId="103" xfId="2" applyNumberFormat="1" applyFont="1" applyFill="1" applyBorder="1" applyAlignment="1">
      <alignment vertical="center"/>
    </xf>
    <xf numFmtId="172" fontId="5" fillId="52" borderId="79" xfId="2" applyNumberFormat="1" applyFont="1" applyFill="1" applyBorder="1" applyAlignment="1">
      <alignment vertical="center"/>
    </xf>
    <xf numFmtId="172" fontId="5" fillId="3" borderId="69" xfId="2" applyNumberFormat="1" applyFont="1" applyFill="1" applyBorder="1" applyAlignment="1">
      <alignment vertical="center"/>
    </xf>
    <xf numFmtId="172" fontId="5" fillId="3" borderId="70" xfId="2" applyNumberFormat="1" applyFont="1" applyFill="1" applyBorder="1" applyAlignment="1">
      <alignment vertical="center"/>
    </xf>
    <xf numFmtId="172" fontId="5" fillId="52" borderId="104" xfId="2" applyNumberFormat="1" applyFont="1" applyFill="1" applyBorder="1" applyAlignment="1">
      <alignment vertical="center"/>
    </xf>
    <xf numFmtId="172" fontId="5" fillId="52" borderId="109" xfId="2" applyNumberFormat="1" applyFont="1" applyFill="1" applyBorder="1" applyAlignment="1">
      <alignment vertical="center"/>
    </xf>
    <xf numFmtId="172" fontId="5" fillId="52" borderId="103" xfId="2" applyNumberFormat="1" applyFont="1" applyFill="1" applyBorder="1"/>
    <xf numFmtId="172" fontId="5" fillId="52" borderId="79" xfId="2" applyNumberFormat="1" applyFont="1" applyFill="1" applyBorder="1"/>
    <xf numFmtId="172" fontId="5" fillId="52" borderId="101" xfId="2" applyNumberFormat="1" applyFont="1" applyFill="1" applyBorder="1"/>
    <xf numFmtId="172" fontId="5" fillId="52" borderId="80" xfId="2" applyNumberFormat="1" applyFont="1" applyFill="1" applyBorder="1"/>
    <xf numFmtId="172" fontId="5" fillId="52" borderId="104" xfId="2" applyNumberFormat="1" applyFont="1" applyFill="1" applyBorder="1"/>
    <xf numFmtId="172" fontId="5" fillId="52" borderId="81" xfId="2" applyNumberFormat="1" applyFont="1" applyFill="1" applyBorder="1"/>
    <xf numFmtId="172" fontId="0" fillId="117" borderId="72" xfId="0" applyNumberFormat="1" applyFill="1" applyBorder="1" applyAlignment="1">
      <alignment horizontal="right" vertical="top"/>
    </xf>
    <xf numFmtId="172" fontId="0" fillId="117" borderId="73" xfId="0" applyNumberFormat="1" applyFill="1" applyBorder="1" applyAlignment="1">
      <alignment horizontal="right" vertical="top"/>
    </xf>
    <xf numFmtId="172" fontId="0" fillId="117" borderId="74" xfId="0" applyNumberFormat="1" applyFill="1" applyBorder="1" applyAlignment="1">
      <alignment horizontal="right" vertical="top"/>
    </xf>
    <xf numFmtId="172" fontId="6" fillId="52" borderId="72" xfId="2" applyNumberFormat="1" applyFont="1" applyFill="1" applyBorder="1" applyAlignment="1">
      <alignment vertical="center"/>
    </xf>
    <xf numFmtId="172" fontId="6" fillId="52" borderId="74" xfId="2" applyNumberFormat="1" applyFont="1" applyFill="1" applyBorder="1" applyAlignment="1">
      <alignment vertical="center"/>
    </xf>
    <xf numFmtId="172" fontId="5" fillId="52" borderId="60" xfId="2" applyNumberFormat="1" applyFont="1" applyFill="1" applyBorder="1" applyAlignment="1">
      <alignment vertical="center"/>
    </xf>
    <xf numFmtId="172" fontId="5" fillId="52" borderId="62" xfId="2" applyNumberFormat="1" applyFont="1" applyFill="1" applyBorder="1" applyAlignment="1">
      <alignment vertical="center"/>
    </xf>
    <xf numFmtId="172" fontId="5" fillId="52" borderId="69" xfId="2" applyNumberFormat="1" applyFont="1" applyFill="1" applyBorder="1" applyAlignment="1">
      <alignment vertical="center"/>
    </xf>
    <xf numFmtId="172" fontId="5" fillId="52" borderId="71" xfId="2" applyNumberFormat="1" applyFont="1" applyFill="1" applyBorder="1" applyAlignment="1">
      <alignment vertical="center"/>
    </xf>
    <xf numFmtId="172" fontId="5" fillId="52" borderId="63" xfId="2" applyNumberFormat="1" applyFont="1" applyFill="1" applyBorder="1" applyAlignment="1">
      <alignment vertical="center"/>
    </xf>
    <xf numFmtId="172" fontId="5" fillId="52" borderId="65" xfId="2" applyNumberFormat="1" applyFont="1" applyFill="1" applyBorder="1" applyAlignment="1">
      <alignment vertical="center"/>
    </xf>
    <xf numFmtId="172" fontId="0" fillId="0" borderId="62" xfId="0" applyNumberFormat="1" applyFill="1" applyBorder="1" applyAlignment="1">
      <alignment horizontal="right" vertical="top"/>
    </xf>
    <xf numFmtId="172" fontId="0" fillId="52" borderId="60" xfId="0" applyNumberFormat="1" applyFont="1" applyFill="1" applyBorder="1" applyAlignment="1">
      <alignment horizontal="right" vertical="top"/>
    </xf>
    <xf numFmtId="172" fontId="0" fillId="0" borderId="70" xfId="0" applyNumberFormat="1" applyFont="1" applyFill="1" applyBorder="1" applyAlignment="1">
      <alignment horizontal="right"/>
    </xf>
    <xf numFmtId="172" fontId="0" fillId="0" borderId="71" xfId="0" applyNumberFormat="1" applyFont="1" applyFill="1" applyBorder="1" applyAlignment="1">
      <alignment horizontal="right"/>
    </xf>
    <xf numFmtId="172" fontId="5" fillId="52" borderId="72" xfId="2" applyNumberFormat="1" applyFont="1" applyFill="1" applyBorder="1" applyAlignment="1">
      <alignment horizontal="right" vertical="center"/>
    </xf>
    <xf numFmtId="172" fontId="5" fillId="52" borderId="74" xfId="2" applyNumberFormat="1" applyFont="1" applyFill="1" applyBorder="1" applyAlignment="1">
      <alignment horizontal="right" vertical="center"/>
    </xf>
    <xf numFmtId="172" fontId="0" fillId="51" borderId="66" xfId="1" applyNumberFormat="1" applyFont="1" applyFill="1" applyBorder="1" applyAlignment="1">
      <alignment horizontal="right"/>
    </xf>
    <xf numFmtId="172" fontId="0" fillId="51" borderId="67" xfId="1" applyNumberFormat="1" applyFont="1" applyFill="1" applyBorder="1" applyAlignment="1"/>
    <xf numFmtId="172" fontId="6" fillId="52" borderId="72" xfId="2" applyNumberFormat="1" applyFont="1" applyFill="1" applyBorder="1" applyAlignment="1">
      <alignment horizontal="right" vertical="center"/>
    </xf>
    <xf numFmtId="172" fontId="6" fillId="52" borderId="74" xfId="2" applyNumberFormat="1" applyFont="1" applyFill="1" applyBorder="1" applyAlignment="1">
      <alignment horizontal="right" vertical="center"/>
    </xf>
    <xf numFmtId="172" fontId="0" fillId="52" borderId="60" xfId="0" applyNumberFormat="1" applyFill="1" applyBorder="1" applyAlignment="1">
      <alignment horizontal="right" vertical="top"/>
    </xf>
    <xf numFmtId="172" fontId="0" fillId="52" borderId="61" xfId="0" applyNumberFormat="1" applyFill="1" applyBorder="1" applyAlignment="1">
      <alignment horizontal="right" vertical="top"/>
    </xf>
    <xf numFmtId="172" fontId="0" fillId="52" borderId="62" xfId="0" applyNumberFormat="1" applyFill="1" applyBorder="1" applyAlignment="1">
      <alignment horizontal="right" vertical="top"/>
    </xf>
    <xf numFmtId="172" fontId="5" fillId="3" borderId="72" xfId="2" applyNumberFormat="1" applyFont="1" applyFill="1" applyBorder="1"/>
    <xf numFmtId="172" fontId="5" fillId="52" borderId="61" xfId="2" applyNumberFormat="1" applyFont="1" applyFill="1" applyBorder="1"/>
    <xf numFmtId="172" fontId="6" fillId="52" borderId="60" xfId="2" applyNumberFormat="1" applyFont="1" applyFill="1" applyBorder="1"/>
    <xf numFmtId="172" fontId="6" fillId="52" borderId="61" xfId="2" applyNumberFormat="1" applyFont="1" applyFill="1" applyBorder="1"/>
    <xf numFmtId="172" fontId="6" fillId="52" borderId="62" xfId="2" applyNumberFormat="1" applyFont="1" applyFill="1" applyBorder="1"/>
    <xf numFmtId="172" fontId="6" fillId="3" borderId="69" xfId="2" applyNumberFormat="1" applyFont="1" applyFill="1" applyBorder="1"/>
    <xf numFmtId="172" fontId="6" fillId="3" borderId="70" xfId="2" applyNumberFormat="1" applyFont="1" applyFill="1" applyBorder="1"/>
    <xf numFmtId="172" fontId="6" fillId="3" borderId="71" xfId="2" applyNumberFormat="1" applyFont="1" applyFill="1" applyBorder="1"/>
    <xf numFmtId="172" fontId="6" fillId="52" borderId="72" xfId="2" applyNumberFormat="1" applyFont="1" applyFill="1" applyBorder="1"/>
    <xf numFmtId="172" fontId="6" fillId="52" borderId="73" xfId="2" applyNumberFormat="1" applyFont="1" applyFill="1" applyBorder="1"/>
    <xf numFmtId="172" fontId="6" fillId="52" borderId="74" xfId="2" applyNumberFormat="1" applyFont="1" applyFill="1" applyBorder="1"/>
    <xf numFmtId="172" fontId="0" fillId="52" borderId="72" xfId="0" applyNumberFormat="1" applyFont="1" applyFill="1" applyBorder="1"/>
    <xf numFmtId="172" fontId="0" fillId="52" borderId="73" xfId="0" applyNumberFormat="1" applyFont="1" applyFill="1" applyBorder="1"/>
    <xf numFmtId="172" fontId="0" fillId="52" borderId="74" xfId="0" applyNumberFormat="1" applyFont="1" applyFill="1" applyBorder="1"/>
    <xf numFmtId="172" fontId="0" fillId="52" borderId="66" xfId="0" applyNumberFormat="1" applyFont="1" applyFill="1" applyBorder="1"/>
    <xf numFmtId="172" fontId="0" fillId="52" borderId="67" xfId="0" applyNumberFormat="1" applyFont="1" applyFill="1" applyBorder="1"/>
    <xf numFmtId="172" fontId="0" fillId="52" borderId="68" xfId="0" applyNumberFormat="1" applyFont="1" applyFill="1" applyBorder="1"/>
    <xf numFmtId="172" fontId="3" fillId="0" borderId="0" xfId="0" applyNumberFormat="1" applyFont="1"/>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2" xfId="0" applyNumberFormat="1" applyFill="1" applyBorder="1" applyAlignment="1">
      <alignment horizontal="right" vertical="center"/>
    </xf>
    <xf numFmtId="172" fontId="0" fillId="52" borderId="73" xfId="0" applyNumberFormat="1" applyFill="1" applyBorder="1" applyAlignment="1">
      <alignment horizontal="right" vertical="center"/>
    </xf>
    <xf numFmtId="172" fontId="0" fillId="52" borderId="74"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2" xfId="0" applyNumberFormat="1" applyFill="1" applyBorder="1" applyAlignment="1">
      <alignment horizontal="right" vertical="top"/>
    </xf>
    <xf numFmtId="172" fontId="0" fillId="0" borderId="74" xfId="0" applyNumberFormat="1" applyFill="1" applyBorder="1" applyAlignment="1">
      <alignment horizontal="right" vertical="top"/>
    </xf>
    <xf numFmtId="172" fontId="0" fillId="0" borderId="68" xfId="0" applyNumberFormat="1" applyFill="1" applyBorder="1" applyAlignment="1">
      <alignment horizontal="right" vertical="top"/>
    </xf>
    <xf numFmtId="172" fontId="5" fillId="38" borderId="72" xfId="1" applyNumberFormat="1" applyFont="1" applyFill="1" applyBorder="1" applyAlignment="1" applyProtection="1">
      <alignment horizontal="right"/>
    </xf>
    <xf numFmtId="172" fontId="5" fillId="38" borderId="73" xfId="1" applyNumberFormat="1" applyFont="1" applyFill="1" applyBorder="1" applyAlignment="1" applyProtection="1">
      <alignment horizontal="right"/>
    </xf>
    <xf numFmtId="172" fontId="5" fillId="38" borderId="74" xfId="1" applyNumberFormat="1" applyFont="1" applyFill="1" applyBorder="1" applyAlignment="1" applyProtection="1">
      <alignment horizontal="right"/>
    </xf>
    <xf numFmtId="172" fontId="0" fillId="0" borderId="0" xfId="0" applyNumberFormat="1" applyAlignment="1">
      <alignment horizontal="right"/>
    </xf>
    <xf numFmtId="173" fontId="5" fillId="118" borderId="66" xfId="7" applyNumberFormat="1" applyFont="1" applyFill="1" applyBorder="1" applyAlignment="1">
      <alignment horizontal="center"/>
    </xf>
    <xf numFmtId="170" fontId="5" fillId="36" borderId="73" xfId="77" applyNumberFormat="1" applyFont="1" applyFill="1" applyBorder="1" applyAlignment="1" applyProtection="1">
      <alignment vertical="center"/>
    </xf>
    <xf numFmtId="170" fontId="5" fillId="36" borderId="74" xfId="77" applyNumberFormat="1" applyFont="1" applyFill="1" applyBorder="1" applyAlignment="1" applyProtection="1">
      <alignment vertical="center"/>
    </xf>
    <xf numFmtId="350" fontId="5" fillId="38" borderId="73" xfId="77" applyNumberFormat="1" applyFont="1" applyFill="1" applyBorder="1" applyProtection="1"/>
    <xf numFmtId="350" fontId="5" fillId="38" borderId="74"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0" fillId="52" borderId="72" xfId="0" applyNumberFormat="1" applyFont="1" applyFill="1" applyBorder="1" applyAlignment="1">
      <alignment horizontal="right" vertical="center"/>
    </xf>
    <xf numFmtId="172" fontId="0" fillId="52" borderId="73" xfId="0" applyNumberFormat="1" applyFont="1" applyFill="1" applyBorder="1" applyAlignment="1">
      <alignment horizontal="right" vertical="center"/>
    </xf>
    <xf numFmtId="172" fontId="0" fillId="52" borderId="74"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11" xfId="0" applyBorder="1" applyAlignment="1">
      <alignment horizontal="center" wrapText="1"/>
    </xf>
    <xf numFmtId="3" fontId="0" fillId="0" borderId="0" xfId="0" applyNumberFormat="1" applyBorder="1"/>
    <xf numFmtId="0" fontId="0" fillId="0" borderId="90" xfId="0" applyBorder="1" applyAlignment="1">
      <alignment horizontal="center" wrapText="1"/>
    </xf>
    <xf numFmtId="3" fontId="0" fillId="0" borderId="89"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3" borderId="79" xfId="0" applyFont="1" applyFill="1" applyBorder="1" applyAlignment="1">
      <alignment horizontal="left" indent="1"/>
    </xf>
    <xf numFmtId="0" fontId="0" fillId="3" borderId="80" xfId="0" applyFill="1" applyBorder="1" applyAlignment="1">
      <alignment horizontal="left" indent="1"/>
    </xf>
    <xf numFmtId="0" fontId="0" fillId="3" borderId="81" xfId="0" applyFill="1" applyBorder="1" applyAlignment="1">
      <alignment horizontal="left" indent="1"/>
    </xf>
    <xf numFmtId="0" fontId="0" fillId="3" borderId="79" xfId="0" applyFill="1" applyBorder="1" applyAlignment="1">
      <alignment horizontal="left" indent="1"/>
    </xf>
    <xf numFmtId="0" fontId="0" fillId="3" borderId="109" xfId="0" applyFill="1" applyBorder="1" applyAlignment="1">
      <alignment horizontal="left" indent="1"/>
    </xf>
    <xf numFmtId="3" fontId="0" fillId="0" borderId="0" xfId="0" applyNumberFormat="1" applyFill="1" applyBorder="1"/>
    <xf numFmtId="0" fontId="0" fillId="52" borderId="79" xfId="0" applyFill="1" applyBorder="1" applyAlignment="1">
      <alignment horizontal="left" vertical="center" wrapText="1" indent="1"/>
    </xf>
    <xf numFmtId="0" fontId="0" fillId="52" borderId="80" xfId="0" applyFill="1" applyBorder="1" applyAlignment="1">
      <alignment horizontal="left" vertical="center" wrapText="1" indent="1"/>
    </xf>
    <xf numFmtId="0" fontId="0" fillId="52" borderId="81" xfId="0" applyFill="1" applyBorder="1" applyAlignment="1">
      <alignment horizontal="left" vertical="center" wrapText="1" indent="1"/>
    </xf>
    <xf numFmtId="351" fontId="0" fillId="3" borderId="64" xfId="0" applyNumberFormat="1" applyFill="1" applyBorder="1" applyAlignment="1">
      <alignment horizontal="right" vertical="top"/>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5" fontId="239" fillId="46" borderId="108" xfId="48236" applyNumberFormat="1" applyFont="1" applyFill="1" applyBorder="1" applyAlignment="1">
      <alignment horizontal="center" vertical="top" wrapText="1"/>
    </xf>
    <xf numFmtId="0" fontId="239" fillId="46" borderId="108" xfId="48236" applyFont="1" applyFill="1" applyBorder="1" applyAlignment="1">
      <alignment vertical="top" wrapText="1"/>
    </xf>
    <xf numFmtId="0" fontId="239" fillId="46" borderId="108"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42" borderId="64" xfId="0" applyFill="1" applyBorder="1" applyAlignment="1">
      <alignment horizontal="left" vertical="top" wrapText="1" indent="1"/>
    </xf>
    <xf numFmtId="0" fontId="0" fillId="42" borderId="67" xfId="0" applyFill="1" applyBorder="1" applyAlignment="1">
      <alignment horizontal="left" vertical="top" wrapText="1" indent="1"/>
    </xf>
    <xf numFmtId="0" fontId="0" fillId="0" borderId="85" xfId="0" applyBorder="1" applyAlignment="1">
      <alignment horizontal="left" vertical="top" wrapText="1" indent="1"/>
    </xf>
    <xf numFmtId="172" fontId="0" fillId="3" borderId="75" xfId="0" applyNumberFormat="1" applyFill="1" applyBorder="1" applyAlignment="1">
      <alignment horizontal="right" vertical="top"/>
    </xf>
    <xf numFmtId="172" fontId="0" fillId="3" borderId="76" xfId="0" applyNumberFormat="1" applyFill="1" applyBorder="1" applyAlignment="1">
      <alignment horizontal="right" vertical="top"/>
    </xf>
    <xf numFmtId="172" fontId="0" fillId="3" borderId="92"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4" xfId="0" applyFill="1" applyBorder="1" applyAlignment="1">
      <alignment horizontal="left" vertical="center" wrapText="1"/>
    </xf>
    <xf numFmtId="0" fontId="0" fillId="0" borderId="85" xfId="0" applyBorder="1" applyAlignment="1">
      <alignment vertical="center" wrapText="1"/>
    </xf>
    <xf numFmtId="168" fontId="6" fillId="0" borderId="0" xfId="0" applyNumberFormat="1" applyFont="1" applyFill="1" applyBorder="1" applyAlignment="1">
      <alignment horizontal="left" vertical="center" indent="1"/>
    </xf>
    <xf numFmtId="172" fontId="0" fillId="51" borderId="64" xfId="0" applyNumberFormat="1" applyFill="1" applyBorder="1" applyAlignment="1">
      <alignment horizontal="right" vertical="top"/>
    </xf>
    <xf numFmtId="172" fontId="0" fillId="51" borderId="65"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0" fontId="0" fillId="42" borderId="64" xfId="0" quotePrefix="1" applyFill="1" applyBorder="1" applyAlignment="1">
      <alignment horizontal="left" vertical="top" wrapText="1"/>
    </xf>
    <xf numFmtId="178" fontId="0" fillId="42" borderId="0" xfId="0" applyNumberFormat="1" applyFill="1" applyBorder="1" applyAlignment="1">
      <alignment horizontal="right" vertical="top"/>
    </xf>
    <xf numFmtId="0" fontId="0" fillId="42" borderId="64" xfId="0" quotePrefix="1" applyFill="1" applyBorder="1" applyAlignment="1">
      <alignment horizontal="left" vertical="top" wrapText="1" indent="1"/>
    </xf>
    <xf numFmtId="170" fontId="0" fillId="51" borderId="69" xfId="0" applyNumberFormat="1" applyFill="1" applyBorder="1"/>
    <xf numFmtId="170" fontId="0" fillId="51" borderId="70" xfId="0" applyNumberFormat="1" applyFill="1" applyBorder="1"/>
    <xf numFmtId="170" fontId="0" fillId="51" borderId="71" xfId="0" applyNumberFormat="1" applyFill="1" applyBorder="1"/>
    <xf numFmtId="0" fontId="0" fillId="42" borderId="76" xfId="0" applyFill="1" applyBorder="1" applyAlignment="1">
      <alignment horizontal="left" vertical="top" wrapText="1" indent="1"/>
    </xf>
    <xf numFmtId="0" fontId="0" fillId="42" borderId="76" xfId="0" applyFill="1" applyBorder="1" applyAlignment="1">
      <alignment horizontal="left" vertical="top" wrapText="1"/>
    </xf>
    <xf numFmtId="172" fontId="5" fillId="51" borderId="72" xfId="1" applyNumberFormat="1" applyFont="1" applyFill="1" applyBorder="1" applyProtection="1"/>
    <xf numFmtId="172" fontId="5" fillId="42" borderId="75" xfId="2" applyNumberFormat="1" applyFont="1" applyFill="1" applyBorder="1" applyAlignment="1">
      <alignment vertical="center"/>
    </xf>
    <xf numFmtId="172" fontId="5" fillId="42" borderId="77" xfId="2" applyNumberFormat="1" applyFont="1" applyFill="1" applyBorder="1" applyAlignment="1">
      <alignment vertical="center"/>
    </xf>
    <xf numFmtId="9" fontId="0" fillId="117" borderId="75" xfId="77" applyFont="1" applyFill="1" applyBorder="1" applyAlignment="1">
      <alignment horizontal="right" vertical="top"/>
    </xf>
    <xf numFmtId="9" fontId="0" fillId="117" borderId="75" xfId="0" applyNumberFormat="1" applyFill="1" applyBorder="1" applyAlignment="1">
      <alignment horizontal="right" vertical="top"/>
    </xf>
    <xf numFmtId="9" fontId="0" fillId="117" borderId="76" xfId="0" applyNumberFormat="1" applyFill="1" applyBorder="1" applyAlignment="1">
      <alignment horizontal="right" vertical="top"/>
    </xf>
    <xf numFmtId="9" fontId="0" fillId="117" borderId="77" xfId="0" applyNumberFormat="1" applyFill="1" applyBorder="1" applyAlignment="1">
      <alignment horizontal="right" vertical="top"/>
    </xf>
    <xf numFmtId="170" fontId="5" fillId="117" borderId="72" xfId="1" applyNumberFormat="1" applyFont="1" applyFill="1" applyBorder="1" applyProtection="1"/>
    <xf numFmtId="170" fontId="5" fillId="117" borderId="73" xfId="1" applyNumberFormat="1" applyFont="1" applyFill="1" applyBorder="1" applyProtection="1"/>
    <xf numFmtId="170" fontId="5" fillId="117" borderId="74" xfId="1" applyNumberFormat="1" applyFont="1" applyFill="1" applyBorder="1" applyProtection="1"/>
    <xf numFmtId="170" fontId="5" fillId="51" borderId="72" xfId="1" applyNumberFormat="1" applyFont="1" applyFill="1" applyBorder="1" applyProtection="1"/>
    <xf numFmtId="170" fontId="5" fillId="51" borderId="73" xfId="1" applyNumberFormat="1" applyFont="1" applyFill="1" applyBorder="1" applyProtection="1"/>
    <xf numFmtId="170" fontId="5" fillId="51" borderId="74" xfId="1" applyNumberFormat="1" applyFont="1" applyFill="1" applyBorder="1" applyProtection="1"/>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5" fillId="42" borderId="0" xfId="2" applyNumberFormat="1" applyFont="1" applyFill="1" applyBorder="1" applyAlignment="1">
      <alignment horizontal="right" vertical="center"/>
    </xf>
    <xf numFmtId="172" fontId="0" fillId="51" borderId="107" xfId="1" applyNumberFormat="1" applyFont="1" applyFill="1" applyBorder="1" applyAlignment="1"/>
    <xf numFmtId="0" fontId="0" fillId="101" borderId="0" xfId="0" applyFill="1"/>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 xfId="90" applyFont="1" applyFill="1" applyBorder="1" applyAlignment="1">
      <alignment horizontal="left"/>
    </xf>
    <xf numFmtId="0" fontId="256" fillId="47" borderId="0" xfId="0" applyFont="1" applyFill="1" applyBorder="1" applyAlignment="1">
      <alignment wrapText="1"/>
    </xf>
    <xf numFmtId="0" fontId="256" fillId="47" borderId="12" xfId="0" applyFont="1" applyFill="1" applyBorder="1" applyAlignment="1">
      <alignment wrapText="1"/>
    </xf>
    <xf numFmtId="0" fontId="257" fillId="47" borderId="90" xfId="90" applyFont="1" applyFill="1" applyBorder="1" applyAlignment="1">
      <alignment horizontal="left"/>
    </xf>
    <xf numFmtId="0" fontId="256" fillId="47" borderId="89" xfId="0" applyFont="1" applyFill="1" applyBorder="1" applyAlignment="1">
      <alignment wrapText="1"/>
    </xf>
    <xf numFmtId="0" fontId="256" fillId="47" borderId="91" xfId="0" applyFont="1" applyFill="1" applyBorder="1" applyAlignment="1">
      <alignment wrapText="1"/>
    </xf>
    <xf numFmtId="0" fontId="257" fillId="47" borderId="22" xfId="90" applyNumberFormat="1" applyFont="1" applyFill="1" applyBorder="1" applyAlignment="1">
      <alignment horizontal="left" indent="1"/>
    </xf>
    <xf numFmtId="0" fontId="257" fillId="47" borderId="22"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89" xfId="90" applyNumberFormat="1" applyFont="1" applyFill="1" applyBorder="1" applyAlignment="1">
      <alignment horizontal="left" indent="1"/>
    </xf>
    <xf numFmtId="0" fontId="257" fillId="47" borderId="89" xfId="90" applyFont="1" applyFill="1" applyBorder="1" applyAlignment="1">
      <alignment horizontal="left"/>
    </xf>
    <xf numFmtId="0" fontId="256" fillId="47" borderId="22" xfId="0" applyFont="1" applyFill="1" applyBorder="1" applyAlignment="1">
      <alignment horizontal="left" indent="1"/>
    </xf>
    <xf numFmtId="0" fontId="257" fillId="47" borderId="0" xfId="90" applyFont="1" applyFill="1" applyBorder="1" applyAlignment="1">
      <alignment horizontal="left" indent="1"/>
    </xf>
    <xf numFmtId="0" fontId="257" fillId="47" borderId="89" xfId="90" applyFont="1" applyFill="1" applyBorder="1" applyAlignment="1">
      <alignment horizontal="left" indent="1"/>
    </xf>
    <xf numFmtId="0" fontId="257" fillId="47" borderId="22" xfId="90" applyFont="1" applyFill="1" applyBorder="1" applyAlignment="1">
      <alignment horizontal="left" indent="1"/>
    </xf>
    <xf numFmtId="0" fontId="260" fillId="47" borderId="11" xfId="90" applyFont="1" applyFill="1" applyBorder="1" applyAlignment="1">
      <alignment horizontal="left"/>
    </xf>
    <xf numFmtId="0" fontId="261" fillId="47" borderId="0" xfId="90" applyFont="1" applyFill="1" applyBorder="1" applyAlignment="1">
      <alignment horizontal="left"/>
    </xf>
    <xf numFmtId="0" fontId="0" fillId="42" borderId="78" xfId="0" applyFill="1" applyBorder="1" applyAlignment="1">
      <alignment horizontal="left" vertical="center" wrapText="1" indent="1"/>
    </xf>
    <xf numFmtId="0" fontId="0" fillId="42" borderId="85" xfId="0" applyFill="1" applyBorder="1" applyAlignment="1">
      <alignment horizontal="left" vertical="top" wrapText="1" indent="1"/>
    </xf>
    <xf numFmtId="0" fontId="0" fillId="42" borderId="85" xfId="0" applyFill="1" applyBorder="1" applyAlignment="1">
      <alignment horizontal="left" vertical="top" wrapText="1"/>
    </xf>
    <xf numFmtId="0" fontId="0" fillId="42" borderId="120" xfId="0" applyFill="1" applyBorder="1" applyAlignment="1">
      <alignment horizontal="left" vertical="center" wrapText="1" indent="1"/>
    </xf>
    <xf numFmtId="0" fontId="0" fillId="42" borderId="121" xfId="0" applyFill="1" applyBorder="1" applyAlignment="1">
      <alignment horizontal="left" vertical="top" wrapText="1" indent="1"/>
    </xf>
    <xf numFmtId="0" fontId="0" fillId="42" borderId="121" xfId="0" applyFill="1" applyBorder="1" applyAlignment="1">
      <alignment horizontal="left" vertical="top" wrapText="1"/>
    </xf>
    <xf numFmtId="0" fontId="0" fillId="132" borderId="0" xfId="0" applyFill="1"/>
    <xf numFmtId="352" fontId="0" fillId="132" borderId="0" xfId="0" applyNumberFormat="1" applyFill="1"/>
    <xf numFmtId="10" fontId="0" fillId="132" borderId="64" xfId="0" applyNumberFormat="1" applyFill="1" applyBorder="1"/>
    <xf numFmtId="173" fontId="0" fillId="0" borderId="72" xfId="1" applyNumberFormat="1" applyFont="1" applyFill="1" applyBorder="1" applyAlignment="1">
      <alignment horizontal="right" vertical="top"/>
    </xf>
    <xf numFmtId="173" fontId="0" fillId="3" borderId="72" xfId="0" applyNumberFormat="1" applyFill="1" applyBorder="1" applyAlignment="1">
      <alignment horizontal="right" vertical="top"/>
    </xf>
    <xf numFmtId="173" fontId="0" fillId="3" borderId="74" xfId="0" applyNumberFormat="1" applyFill="1" applyBorder="1" applyAlignment="1">
      <alignment horizontal="right" vertical="top"/>
    </xf>
    <xf numFmtId="173" fontId="0" fillId="3" borderId="62" xfId="0" applyNumberFormat="1" applyFill="1" applyBorder="1" applyAlignment="1">
      <alignment horizontal="right" vertical="top"/>
    </xf>
    <xf numFmtId="173" fontId="0" fillId="3" borderId="65" xfId="0" applyNumberFormat="1" applyFill="1" applyBorder="1" applyAlignment="1">
      <alignment horizontal="right" vertical="top"/>
    </xf>
    <xf numFmtId="173" fontId="0" fillId="3" borderId="71" xfId="0" applyNumberFormat="1" applyFill="1" applyBorder="1" applyAlignment="1">
      <alignment horizontal="right" vertical="top"/>
    </xf>
    <xf numFmtId="173" fontId="0" fillId="52" borderId="72" xfId="0" applyNumberFormat="1" applyFill="1" applyBorder="1" applyAlignment="1">
      <alignment horizontal="right" vertical="top"/>
    </xf>
    <xf numFmtId="173" fontId="0" fillId="52" borderId="73" xfId="0" applyNumberFormat="1" applyFill="1" applyBorder="1" applyAlignment="1">
      <alignment horizontal="right" vertical="top"/>
    </xf>
    <xf numFmtId="173" fontId="0" fillId="52" borderId="74" xfId="0" applyNumberFormat="1" applyFill="1" applyBorder="1" applyAlignment="1">
      <alignment horizontal="right" vertical="top"/>
    </xf>
    <xf numFmtId="173" fontId="0" fillId="3" borderId="60" xfId="0" applyNumberFormat="1" applyFill="1" applyBorder="1" applyAlignment="1">
      <alignment horizontal="right" vertical="top"/>
    </xf>
    <xf numFmtId="2" fontId="0" fillId="3" borderId="0" xfId="0" applyNumberFormat="1" applyFill="1" applyAlignment="1">
      <alignment horizontal="left" vertical="top" indent="1"/>
    </xf>
    <xf numFmtId="173" fontId="5" fillId="3" borderId="60" xfId="2" applyNumberFormat="1" applyFont="1" applyFill="1" applyBorder="1" applyAlignment="1">
      <alignment vertical="center"/>
    </xf>
    <xf numFmtId="173" fontId="5" fillId="3" borderId="72" xfId="2" applyNumberFormat="1" applyFont="1" applyFill="1" applyBorder="1"/>
    <xf numFmtId="173" fontId="3" fillId="52" borderId="72" xfId="0" applyNumberFormat="1" applyFont="1" applyFill="1" applyBorder="1" applyAlignment="1">
      <alignment horizontal="right" vertical="top"/>
    </xf>
    <xf numFmtId="173" fontId="0" fillId="3" borderId="72" xfId="1" applyNumberFormat="1" applyFont="1" applyFill="1" applyBorder="1" applyAlignment="1">
      <alignment horizontal="right" vertical="top"/>
    </xf>
    <xf numFmtId="173" fontId="5" fillId="3" borderId="60" xfId="2" applyNumberFormat="1" applyFont="1" applyFill="1" applyBorder="1"/>
    <xf numFmtId="43" fontId="0" fillId="0" borderId="0" xfId="0" applyNumberFormat="1"/>
    <xf numFmtId="354" fontId="0" fillId="0" borderId="0" xfId="0" applyNumberFormat="1"/>
    <xf numFmtId="44" fontId="0" fillId="0" borderId="0" xfId="0" applyNumberFormat="1"/>
    <xf numFmtId="164" fontId="5" fillId="38" borderId="0" xfId="1" applyNumberFormat="1" applyFont="1" applyFill="1" applyBorder="1" applyProtection="1"/>
    <xf numFmtId="252" fontId="0" fillId="3" borderId="64" xfId="0" applyNumberFormat="1" applyFill="1" applyBorder="1" applyAlignment="1">
      <alignment horizontal="right" vertical="top"/>
    </xf>
    <xf numFmtId="173" fontId="6" fillId="51" borderId="72" xfId="1" applyNumberFormat="1" applyFont="1" applyFill="1" applyBorder="1" applyProtection="1"/>
    <xf numFmtId="173" fontId="6" fillId="52" borderId="72" xfId="2" applyNumberFormat="1" applyFont="1" applyFill="1" applyBorder="1" applyAlignment="1">
      <alignment horizontal="right" vertical="center"/>
    </xf>
    <xf numFmtId="173" fontId="6" fillId="38" borderId="72" xfId="1" applyNumberFormat="1" applyFont="1" applyFill="1" applyBorder="1" applyProtection="1"/>
    <xf numFmtId="173" fontId="6" fillId="52" borderId="74" xfId="2" applyNumberFormat="1" applyFont="1" applyFill="1" applyBorder="1" applyAlignment="1">
      <alignment horizontal="right" vertical="center"/>
    </xf>
    <xf numFmtId="252" fontId="6" fillId="38" borderId="72" xfId="1" applyNumberFormat="1" applyFont="1" applyFill="1" applyBorder="1" applyProtection="1"/>
    <xf numFmtId="252" fontId="6" fillId="38" borderId="73" xfId="1" applyNumberFormat="1" applyFont="1" applyFill="1" applyBorder="1" applyProtection="1"/>
    <xf numFmtId="252" fontId="5" fillId="51" borderId="72" xfId="1" applyNumberFormat="1" applyFont="1" applyFill="1" applyBorder="1" applyProtection="1"/>
    <xf numFmtId="252" fontId="5" fillId="0" borderId="0" xfId="2" applyNumberFormat="1" applyFont="1" applyFill="1" applyBorder="1"/>
    <xf numFmtId="252" fontId="5" fillId="38" borderId="72" xfId="1" applyNumberFormat="1" applyFont="1" applyFill="1" applyBorder="1" applyProtection="1"/>
    <xf numFmtId="252" fontId="5" fillId="3" borderId="64" xfId="2" applyNumberFormat="1" applyFont="1" applyFill="1" applyBorder="1"/>
    <xf numFmtId="252" fontId="5" fillId="3" borderId="65" xfId="2" applyNumberFormat="1" applyFont="1" applyFill="1" applyBorder="1"/>
    <xf numFmtId="173" fontId="0" fillId="51" borderId="60" xfId="1" applyNumberFormat="1" applyFont="1" applyFill="1" applyBorder="1" applyAlignment="1">
      <alignment horizontal="right"/>
    </xf>
    <xf numFmtId="173" fontId="0" fillId="51" borderId="61" xfId="1" applyNumberFormat="1" applyFont="1" applyFill="1" applyBorder="1" applyAlignment="1">
      <alignment horizontal="right"/>
    </xf>
    <xf numFmtId="173" fontId="0" fillId="51" borderId="63" xfId="1" applyNumberFormat="1" applyFont="1" applyFill="1" applyBorder="1" applyAlignment="1">
      <alignment horizontal="right"/>
    </xf>
    <xf numFmtId="173" fontId="0" fillId="51" borderId="64" xfId="1" applyNumberFormat="1" applyFont="1" applyFill="1" applyBorder="1" applyAlignment="1">
      <alignment horizontal="right"/>
    </xf>
    <xf numFmtId="173" fontId="0" fillId="51" borderId="69" xfId="1" applyNumberFormat="1" applyFont="1" applyFill="1" applyBorder="1" applyAlignment="1">
      <alignment horizontal="right"/>
    </xf>
    <xf numFmtId="173" fontId="0" fillId="51" borderId="70" xfId="1" applyNumberFormat="1" applyFont="1" applyFill="1" applyBorder="1" applyAlignment="1">
      <alignment horizontal="right"/>
    </xf>
    <xf numFmtId="173" fontId="6" fillId="38" borderId="60" xfId="1" applyNumberFormat="1" applyFont="1" applyFill="1" applyBorder="1" applyProtection="1"/>
    <xf numFmtId="173" fontId="6" fillId="38" borderId="61" xfId="1" applyNumberFormat="1" applyFont="1" applyFill="1" applyBorder="1" applyProtection="1"/>
    <xf numFmtId="173" fontId="5" fillId="3" borderId="63" xfId="2" applyNumberFormat="1" applyFont="1" applyFill="1" applyBorder="1"/>
    <xf numFmtId="252" fontId="0" fillId="51" borderId="61" xfId="1" applyNumberFormat="1" applyFont="1" applyFill="1" applyBorder="1" applyAlignment="1">
      <alignment horizontal="right"/>
    </xf>
    <xf numFmtId="252" fontId="0" fillId="51" borderId="62" xfId="1" applyNumberFormat="1" applyFont="1" applyFill="1" applyBorder="1" applyAlignment="1">
      <alignment horizontal="right"/>
    </xf>
    <xf numFmtId="252" fontId="0" fillId="51" borderId="64" xfId="1" applyNumberFormat="1" applyFont="1" applyFill="1" applyBorder="1" applyAlignment="1">
      <alignment horizontal="right"/>
    </xf>
    <xf numFmtId="252" fontId="0" fillId="51" borderId="65" xfId="1" applyNumberFormat="1" applyFont="1" applyFill="1" applyBorder="1" applyAlignment="1">
      <alignment horizontal="right"/>
    </xf>
    <xf numFmtId="252" fontId="0" fillId="51" borderId="70" xfId="1" applyNumberFormat="1" applyFont="1" applyFill="1" applyBorder="1" applyAlignment="1">
      <alignment horizontal="right"/>
    </xf>
    <xf numFmtId="252" fontId="0" fillId="51" borderId="71" xfId="1" applyNumberFormat="1" applyFont="1" applyFill="1" applyBorder="1" applyAlignment="1">
      <alignment horizontal="right"/>
    </xf>
    <xf numFmtId="252" fontId="0" fillId="51" borderId="72" xfId="1" applyNumberFormat="1" applyFont="1" applyFill="1" applyBorder="1" applyAlignment="1">
      <alignment horizontal="right" vertical="top"/>
    </xf>
    <xf numFmtId="252" fontId="0" fillId="51" borderId="73" xfId="1" applyNumberFormat="1" applyFont="1" applyFill="1" applyBorder="1" applyAlignment="1">
      <alignment horizontal="right" vertical="top"/>
    </xf>
    <xf numFmtId="252" fontId="5" fillId="38" borderId="60" xfId="1" applyNumberFormat="1" applyFont="1" applyFill="1" applyBorder="1" applyProtection="1"/>
    <xf numFmtId="252" fontId="5" fillId="38" borderId="61" xfId="1" applyNumberFormat="1" applyFont="1" applyFill="1" applyBorder="1" applyProtection="1"/>
    <xf numFmtId="173" fontId="3" fillId="52" borderId="72" xfId="1" applyNumberFormat="1" applyFont="1" applyFill="1" applyBorder="1" applyAlignment="1">
      <alignment horizontal="right"/>
    </xf>
    <xf numFmtId="173" fontId="0" fillId="0" borderId="0" xfId="0" applyNumberFormat="1" applyAlignment="1">
      <alignment horizontal="left" vertical="top"/>
    </xf>
    <xf numFmtId="173" fontId="5" fillId="51" borderId="60" xfId="1" applyNumberFormat="1" applyFont="1" applyFill="1" applyBorder="1"/>
    <xf numFmtId="173" fontId="5" fillId="51" borderId="61" xfId="1" applyNumberFormat="1" applyFont="1" applyFill="1" applyBorder="1"/>
    <xf numFmtId="173" fontId="5" fillId="51" borderId="63" xfId="1" applyNumberFormat="1" applyFont="1" applyFill="1" applyBorder="1"/>
    <xf numFmtId="173" fontId="5" fillId="51" borderId="64" xfId="1" applyNumberFormat="1" applyFont="1" applyFill="1" applyBorder="1"/>
    <xf numFmtId="173" fontId="5" fillId="51" borderId="65" xfId="1" applyNumberFormat="1" applyFont="1" applyFill="1" applyBorder="1"/>
    <xf numFmtId="173" fontId="0" fillId="51" borderId="65" xfId="1" applyNumberFormat="1" applyFont="1" applyFill="1" applyBorder="1" applyAlignment="1">
      <alignment horizontal="right"/>
    </xf>
    <xf numFmtId="173" fontId="0" fillId="51" borderId="71" xfId="1" applyNumberFormat="1" applyFont="1" applyFill="1" applyBorder="1" applyAlignment="1">
      <alignment horizontal="right"/>
    </xf>
    <xf numFmtId="173" fontId="5" fillId="52" borderId="60" xfId="1" applyNumberFormat="1" applyFont="1" applyFill="1" applyBorder="1" applyProtection="1"/>
    <xf numFmtId="173" fontId="0" fillId="51" borderId="69" xfId="0" applyNumberFormat="1" applyFont="1" applyFill="1" applyBorder="1" applyAlignment="1">
      <alignment horizontal="right"/>
    </xf>
    <xf numFmtId="173" fontId="0" fillId="51" borderId="70" xfId="0" applyNumberFormat="1" applyFont="1" applyFill="1" applyBorder="1" applyAlignment="1">
      <alignment horizontal="right"/>
    </xf>
    <xf numFmtId="173" fontId="0" fillId="51" borderId="71" xfId="0" applyNumberFormat="1" applyFont="1" applyFill="1" applyBorder="1" applyAlignment="1">
      <alignment horizontal="right"/>
    </xf>
    <xf numFmtId="173" fontId="5" fillId="38" borderId="60" xfId="1" applyNumberFormat="1" applyFont="1" applyFill="1" applyBorder="1" applyProtection="1"/>
    <xf numFmtId="173" fontId="5" fillId="38" borderId="61" xfId="1" applyNumberFormat="1" applyFont="1" applyFill="1" applyBorder="1" applyProtection="1"/>
    <xf numFmtId="173" fontId="5" fillId="38" borderId="62" xfId="1" applyNumberFormat="1" applyFont="1" applyFill="1" applyBorder="1" applyProtection="1"/>
    <xf numFmtId="252" fontId="5" fillId="3" borderId="60" xfId="1" applyNumberFormat="1" applyFont="1" applyFill="1" applyBorder="1" applyProtection="1"/>
    <xf numFmtId="252" fontId="5" fillId="38" borderId="62" xfId="1" applyNumberFormat="1" applyFont="1" applyFill="1" applyBorder="1" applyProtection="1"/>
    <xf numFmtId="252" fontId="5" fillId="38" borderId="105" xfId="1" applyNumberFormat="1" applyFont="1" applyFill="1" applyBorder="1" applyProtection="1"/>
    <xf numFmtId="252" fontId="5" fillId="38" borderId="106" xfId="1" applyNumberFormat="1" applyFont="1" applyFill="1" applyBorder="1" applyProtection="1"/>
    <xf numFmtId="252" fontId="5" fillId="38" borderId="107" xfId="1" applyNumberFormat="1" applyFont="1" applyFill="1" applyBorder="1" applyProtection="1"/>
    <xf numFmtId="252" fontId="0" fillId="52" borderId="60" xfId="0" applyNumberFormat="1" applyFont="1" applyFill="1" applyBorder="1"/>
    <xf numFmtId="252" fontId="0" fillId="52" borderId="61" xfId="0" applyNumberFormat="1" applyFont="1" applyFill="1" applyBorder="1"/>
    <xf numFmtId="252" fontId="0" fillId="52" borderId="62" xfId="0" applyNumberFormat="1" applyFont="1" applyFill="1" applyBorder="1"/>
    <xf numFmtId="252" fontId="0" fillId="52" borderId="75" xfId="0" applyNumberFormat="1" applyFill="1" applyBorder="1"/>
    <xf numFmtId="252" fontId="0" fillId="52" borderId="76" xfId="0" applyNumberFormat="1" applyFill="1" applyBorder="1"/>
    <xf numFmtId="252" fontId="0" fillId="52" borderId="77" xfId="0" applyNumberFormat="1" applyFill="1" applyBorder="1"/>
    <xf numFmtId="252" fontId="0" fillId="51" borderId="72" xfId="0" applyNumberFormat="1" applyFill="1" applyBorder="1"/>
    <xf numFmtId="173" fontId="0" fillId="52" borderId="60" xfId="0" applyNumberFormat="1" applyFill="1" applyBorder="1" applyAlignment="1">
      <alignment horizontal="right" vertical="top"/>
    </xf>
    <xf numFmtId="173" fontId="0" fillId="52" borderId="61" xfId="0" applyNumberFormat="1" applyFill="1" applyBorder="1" applyAlignment="1">
      <alignment horizontal="right" vertical="top"/>
    </xf>
    <xf numFmtId="173" fontId="0" fillId="52" borderId="62" xfId="0" applyNumberFormat="1" applyFill="1" applyBorder="1" applyAlignment="1">
      <alignment horizontal="right" vertical="top"/>
    </xf>
    <xf numFmtId="173" fontId="0" fillId="52" borderId="75" xfId="0" applyNumberFormat="1" applyFill="1" applyBorder="1" applyAlignment="1">
      <alignment horizontal="right" vertical="top"/>
    </xf>
    <xf numFmtId="173" fontId="0" fillId="52" borderId="76" xfId="0" applyNumberFormat="1" applyFill="1" applyBorder="1" applyAlignment="1">
      <alignment horizontal="right" vertical="top"/>
    </xf>
    <xf numFmtId="173" fontId="0" fillId="52" borderId="77" xfId="0" applyNumberFormat="1" applyFill="1" applyBorder="1" applyAlignment="1">
      <alignment horizontal="right" vertical="top"/>
    </xf>
    <xf numFmtId="173" fontId="0" fillId="51" borderId="72" xfId="0" applyNumberFormat="1" applyFont="1" applyFill="1" applyBorder="1"/>
    <xf numFmtId="0" fontId="5" fillId="0" borderId="122" xfId="7" applyFont="1" applyBorder="1" applyAlignment="1">
      <alignment horizontal="left" indent="1"/>
    </xf>
    <xf numFmtId="0" fontId="5" fillId="36" borderId="122" xfId="75" applyFont="1" applyFill="1" applyBorder="1" applyAlignment="1" applyProtection="1">
      <alignment horizontal="right" vertical="center"/>
    </xf>
    <xf numFmtId="0" fontId="20" fillId="36" borderId="122" xfId="75" applyFont="1" applyFill="1" applyBorder="1" applyProtection="1"/>
    <xf numFmtId="1" fontId="5" fillId="38" borderId="122" xfId="1" applyNumberFormat="1" applyFont="1" applyFill="1" applyBorder="1" applyAlignment="1" applyProtection="1">
      <alignment horizontal="right" vertical="center"/>
    </xf>
    <xf numFmtId="0" fontId="20" fillId="38" borderId="122" xfId="75" applyFont="1" applyFill="1" applyBorder="1" applyProtection="1"/>
    <xf numFmtId="0" fontId="5" fillId="0" borderId="122" xfId="7" applyFont="1" applyBorder="1" applyAlignment="1">
      <alignment horizontal="left" wrapText="1" indent="1"/>
    </xf>
    <xf numFmtId="0" fontId="5" fillId="36" borderId="122" xfId="75" applyFont="1" applyFill="1" applyBorder="1" applyAlignment="1" applyProtection="1">
      <alignment vertical="center"/>
    </xf>
    <xf numFmtId="0" fontId="20" fillId="39" borderId="122" xfId="75" applyFont="1" applyFill="1" applyBorder="1" applyProtection="1"/>
    <xf numFmtId="0" fontId="5" fillId="36" borderId="122" xfId="75" applyNumberFormat="1" applyFont="1" applyFill="1" applyBorder="1" applyAlignment="1" applyProtection="1">
      <alignment vertical="center"/>
    </xf>
    <xf numFmtId="0" fontId="20" fillId="40" borderId="122" xfId="75" applyFont="1" applyFill="1" applyBorder="1" applyProtection="1"/>
    <xf numFmtId="175" fontId="5" fillId="36" borderId="122" xfId="75" applyNumberFormat="1" applyFont="1" applyFill="1" applyBorder="1" applyAlignment="1" applyProtection="1">
      <alignment vertical="center"/>
    </xf>
    <xf numFmtId="0" fontId="20" fillId="37" borderId="122" xfId="75" applyFont="1" applyFill="1" applyBorder="1" applyProtection="1"/>
    <xf numFmtId="170" fontId="5" fillId="38" borderId="122" xfId="77" applyNumberFormat="1" applyFont="1" applyFill="1" applyBorder="1" applyAlignment="1" applyProtection="1">
      <alignment vertical="center"/>
    </xf>
    <xf numFmtId="0" fontId="20" fillId="41" borderId="122" xfId="75" applyFont="1" applyFill="1" applyBorder="1" applyProtection="1"/>
    <xf numFmtId="10" fontId="5" fillId="38" borderId="122" xfId="77" applyNumberFormat="1" applyFont="1" applyFill="1" applyBorder="1" applyAlignment="1" applyProtection="1">
      <alignment vertical="center"/>
    </xf>
    <xf numFmtId="0" fontId="20" fillId="0" borderId="122" xfId="75" applyFont="1" applyBorder="1" applyProtection="1"/>
    <xf numFmtId="0" fontId="0" fillId="0" borderId="122" xfId="0" applyFill="1" applyBorder="1" applyAlignment="1">
      <alignment horizontal="center" vertical="center" wrapText="1"/>
    </xf>
    <xf numFmtId="0" fontId="5" fillId="42" borderId="123" xfId="7" applyFont="1" applyFill="1" applyBorder="1" applyAlignment="1">
      <alignment horizontal="left" indent="1"/>
    </xf>
    <xf numFmtId="0" fontId="0" fillId="0" borderId="122" xfId="0" applyFill="1" applyBorder="1" applyAlignment="1">
      <alignment horizontal="center"/>
    </xf>
    <xf numFmtId="0" fontId="257" fillId="47" borderId="124" xfId="90" applyFont="1" applyFill="1" applyBorder="1" applyAlignment="1">
      <alignment horizontal="left"/>
    </xf>
    <xf numFmtId="0" fontId="256" fillId="47" borderId="22" xfId="0" applyFont="1" applyFill="1" applyBorder="1" applyAlignment="1">
      <alignment wrapText="1"/>
    </xf>
    <xf numFmtId="0" fontId="256" fillId="47" borderId="125" xfId="0" applyFont="1" applyFill="1" applyBorder="1" applyAlignment="1">
      <alignment wrapText="1"/>
    </xf>
    <xf numFmtId="0" fontId="5" fillId="0" borderId="122" xfId="7" applyFont="1" applyBorder="1" applyAlignment="1">
      <alignment horizontal="center"/>
    </xf>
    <xf numFmtId="0" fontId="5" fillId="46" borderId="122" xfId="7" applyFont="1" applyFill="1" applyBorder="1" applyAlignment="1">
      <alignment horizontal="center"/>
    </xf>
    <xf numFmtId="0" fontId="6" fillId="0" borderId="123" xfId="7" applyFont="1" applyBorder="1" applyAlignment="1">
      <alignment horizontal="center" vertical="center"/>
    </xf>
    <xf numFmtId="0" fontId="0" fillId="0" borderId="123" xfId="0" applyFont="1" applyBorder="1" applyAlignment="1">
      <alignment horizontal="center" vertical="top"/>
    </xf>
    <xf numFmtId="0" fontId="0" fillId="0" borderId="126" xfId="0" applyFont="1" applyBorder="1" applyAlignment="1">
      <alignment horizontal="center" vertical="top"/>
    </xf>
    <xf numFmtId="0" fontId="0" fillId="0" borderId="127" xfId="0" applyFont="1" applyBorder="1" applyAlignment="1">
      <alignment horizontal="center" vertical="top"/>
    </xf>
    <xf numFmtId="0" fontId="3" fillId="0" borderId="124" xfId="0" applyFont="1" applyBorder="1" applyAlignment="1">
      <alignment horizontal="left" indent="1"/>
    </xf>
    <xf numFmtId="0" fontId="0" fillId="0" borderId="125" xfId="0" applyBorder="1"/>
    <xf numFmtId="0" fontId="0" fillId="118" borderId="124" xfId="0" applyFill="1" applyBorder="1"/>
    <xf numFmtId="1" fontId="0" fillId="0" borderId="123" xfId="0" applyNumberFormat="1" applyBorder="1" applyAlignment="1">
      <alignment horizontal="left" indent="1"/>
    </xf>
    <xf numFmtId="0" fontId="0" fillId="0" borderId="126" xfId="0" applyBorder="1"/>
    <xf numFmtId="0" fontId="0" fillId="0" borderId="127" xfId="0" applyBorder="1"/>
    <xf numFmtId="0" fontId="0" fillId="0" borderId="124" xfId="0" applyBorder="1" applyAlignment="1">
      <alignment horizontal="center" wrapText="1"/>
    </xf>
    <xf numFmtId="0" fontId="26" fillId="47" borderId="125" xfId="75" applyFont="1" applyFill="1" applyBorder="1" applyAlignment="1" applyProtection="1"/>
    <xf numFmtId="172" fontId="6" fillId="38" borderId="128" xfId="1" applyNumberFormat="1" applyFont="1" applyFill="1" applyBorder="1" applyProtection="1"/>
    <xf numFmtId="0" fontId="0" fillId="47" borderId="125" xfId="0" applyFill="1" applyBorder="1"/>
    <xf numFmtId="0" fontId="256" fillId="47" borderId="22" xfId="0" applyFont="1" applyFill="1" applyBorder="1"/>
    <xf numFmtId="0" fontId="27" fillId="47" borderId="125" xfId="75" applyFont="1" applyFill="1" applyBorder="1" applyAlignment="1" applyProtection="1"/>
    <xf numFmtId="172" fontId="5" fillId="38" borderId="123" xfId="1" applyNumberFormat="1" applyFont="1" applyFill="1" applyBorder="1" applyProtection="1"/>
    <xf numFmtId="0" fontId="260" fillId="47" borderId="124" xfId="90" applyFont="1" applyFill="1" applyBorder="1" applyAlignment="1">
      <alignment horizontal="left"/>
    </xf>
    <xf numFmtId="0" fontId="261" fillId="47" borderId="22" xfId="90" applyFont="1" applyFill="1" applyBorder="1" applyAlignment="1">
      <alignment horizontal="left"/>
    </xf>
    <xf numFmtId="0" fontId="30" fillId="47" borderId="22" xfId="90" applyFont="1" applyFill="1" applyBorder="1" applyAlignment="1">
      <alignment horizontal="center" vertical="center"/>
    </xf>
    <xf numFmtId="0" fontId="30" fillId="47" borderId="22" xfId="90" applyFont="1" applyFill="1" applyBorder="1" applyAlignment="1">
      <alignment horizontal="left"/>
    </xf>
    <xf numFmtId="0" fontId="260" fillId="47" borderId="90" xfId="90" applyFont="1" applyFill="1" applyBorder="1" applyAlignment="1">
      <alignment horizontal="left"/>
    </xf>
    <xf numFmtId="0" fontId="261" fillId="47" borderId="89" xfId="90" applyFont="1" applyFill="1" applyBorder="1" applyAlignment="1">
      <alignment horizontal="left"/>
    </xf>
    <xf numFmtId="172" fontId="5" fillId="52" borderId="129" xfId="2" applyNumberFormat="1" applyFont="1" applyFill="1" applyBorder="1" applyAlignment="1">
      <alignment vertical="center"/>
    </xf>
    <xf numFmtId="172" fontId="5" fillId="52" borderId="130" xfId="2" applyNumberFormat="1" applyFont="1" applyFill="1" applyBorder="1" applyAlignment="1">
      <alignment vertical="center"/>
    </xf>
    <xf numFmtId="9" fontId="5" fillId="0" borderId="123" xfId="2" applyNumberFormat="1" applyFont="1" applyFill="1" applyBorder="1" applyAlignment="1">
      <alignment vertical="center"/>
    </xf>
    <xf numFmtId="9" fontId="5" fillId="0" borderId="126" xfId="2" applyNumberFormat="1" applyFont="1" applyFill="1" applyBorder="1" applyAlignment="1">
      <alignment vertical="center"/>
    </xf>
    <xf numFmtId="0" fontId="27" fillId="0" borderId="89" xfId="75" applyFont="1" applyFill="1" applyBorder="1" applyAlignment="1" applyProtection="1"/>
    <xf numFmtId="173" fontId="6" fillId="42" borderId="126" xfId="1" applyNumberFormat="1" applyFont="1" applyFill="1" applyBorder="1" applyProtection="1"/>
    <xf numFmtId="173" fontId="6" fillId="42" borderId="126" xfId="2" applyNumberFormat="1" applyFont="1" applyFill="1" applyBorder="1" applyAlignment="1">
      <alignment horizontal="right" vertical="center"/>
    </xf>
    <xf numFmtId="9" fontId="0" fillId="51" borderId="129" xfId="1" applyNumberFormat="1" applyFont="1" applyFill="1" applyBorder="1" applyAlignment="1">
      <alignment horizontal="right"/>
    </xf>
    <xf numFmtId="9" fontId="0" fillId="51" borderId="132" xfId="1" applyNumberFormat="1" applyFont="1" applyFill="1" applyBorder="1" applyAlignment="1">
      <alignment horizontal="right"/>
    </xf>
    <xf numFmtId="9" fontId="0" fillId="51" borderId="130" xfId="1" applyNumberFormat="1" applyFont="1" applyFill="1" applyBorder="1" applyAlignment="1">
      <alignment horizontal="right"/>
    </xf>
    <xf numFmtId="0" fontId="25" fillId="47" borderId="22" xfId="90" applyFont="1" applyFill="1" applyBorder="1" applyAlignment="1">
      <alignment horizontal="center"/>
    </xf>
    <xf numFmtId="172" fontId="6" fillId="52" borderId="129" xfId="2" applyNumberFormat="1" applyFont="1" applyFill="1" applyBorder="1"/>
    <xf numFmtId="172" fontId="6" fillId="52" borderId="132" xfId="2" applyNumberFormat="1" applyFont="1" applyFill="1" applyBorder="1"/>
    <xf numFmtId="172" fontId="6" fillId="52" borderId="130" xfId="2" applyNumberFormat="1" applyFont="1" applyFill="1" applyBorder="1"/>
    <xf numFmtId="172" fontId="5" fillId="38" borderId="129" xfId="1" applyNumberFormat="1" applyFont="1" applyFill="1" applyBorder="1" applyProtection="1"/>
    <xf numFmtId="172" fontId="5" fillId="38" borderId="132" xfId="1" applyNumberFormat="1" applyFont="1" applyFill="1" applyBorder="1" applyProtection="1"/>
    <xf numFmtId="172" fontId="5" fillId="38" borderId="130" xfId="1" applyNumberFormat="1" applyFont="1" applyFill="1" applyBorder="1" applyProtection="1"/>
    <xf numFmtId="172" fontId="5" fillId="38" borderId="122" xfId="1" applyNumberFormat="1" applyFont="1" applyFill="1" applyBorder="1" applyProtection="1"/>
    <xf numFmtId="173" fontId="0" fillId="51" borderId="63" xfId="0" applyNumberFormat="1" applyFont="1" applyFill="1" applyBorder="1" applyAlignment="1">
      <alignment horizontal="right"/>
    </xf>
    <xf numFmtId="173" fontId="5" fillId="51" borderId="64" xfId="75" applyNumberFormat="1" applyFont="1" applyFill="1" applyBorder="1" applyAlignment="1" applyProtection="1">
      <alignment horizontal="right"/>
    </xf>
    <xf numFmtId="173" fontId="0" fillId="51" borderId="64" xfId="0" applyNumberFormat="1" applyFont="1" applyFill="1" applyBorder="1" applyAlignment="1">
      <alignment horizontal="right"/>
    </xf>
    <xf numFmtId="173" fontId="0" fillId="51" borderId="65" xfId="0" applyNumberFormat="1" applyFont="1" applyFill="1" applyBorder="1" applyAlignment="1">
      <alignment horizontal="right"/>
    </xf>
    <xf numFmtId="173" fontId="0" fillId="3" borderId="63" xfId="0" applyNumberFormat="1" applyFill="1" applyBorder="1" applyAlignment="1">
      <alignment horizontal="right" vertical="top"/>
    </xf>
    <xf numFmtId="173" fontId="0" fillId="3" borderId="64" xfId="0" applyNumberFormat="1" applyFill="1" applyBorder="1" applyAlignment="1">
      <alignment horizontal="right" vertical="top"/>
    </xf>
    <xf numFmtId="173" fontId="0" fillId="52" borderId="62" xfId="0" applyNumberFormat="1" applyFont="1" applyFill="1" applyBorder="1" applyAlignment="1">
      <alignment horizontal="right"/>
    </xf>
    <xf numFmtId="173" fontId="3" fillId="52" borderId="74" xfId="0" applyNumberFormat="1" applyFont="1" applyFill="1" applyBorder="1" applyAlignment="1">
      <alignment horizontal="right"/>
    </xf>
    <xf numFmtId="173" fontId="3" fillId="52" borderId="73" xfId="0" applyNumberFormat="1" applyFont="1" applyFill="1" applyBorder="1" applyAlignment="1">
      <alignment horizontal="right" vertical="top"/>
    </xf>
    <xf numFmtId="173" fontId="3" fillId="52" borderId="74" xfId="0" applyNumberFormat="1" applyFont="1" applyFill="1" applyBorder="1" applyAlignment="1">
      <alignment horizontal="right" vertical="top"/>
    </xf>
    <xf numFmtId="173" fontId="0" fillId="3" borderId="60" xfId="0" applyNumberFormat="1" applyFont="1" applyFill="1" applyBorder="1" applyAlignment="1">
      <alignment horizontal="right" vertical="top"/>
    </xf>
    <xf numFmtId="173" fontId="3" fillId="52" borderId="73" xfId="0" applyNumberFormat="1" applyFont="1" applyFill="1" applyBorder="1" applyAlignment="1">
      <alignment horizontal="right"/>
    </xf>
    <xf numFmtId="173" fontId="3" fillId="52" borderId="62" xfId="0" applyNumberFormat="1" applyFont="1" applyFill="1" applyBorder="1" applyAlignment="1">
      <alignment horizontal="right" vertical="top"/>
    </xf>
    <xf numFmtId="173" fontId="5" fillId="52" borderId="63" xfId="2" applyNumberFormat="1" applyFont="1" applyFill="1" applyBorder="1"/>
    <xf numFmtId="173" fontId="5" fillId="52" borderId="65" xfId="2" applyNumberFormat="1" applyFont="1" applyFill="1" applyBorder="1"/>
    <xf numFmtId="173" fontId="5" fillId="52" borderId="69" xfId="2" applyNumberFormat="1" applyFont="1" applyFill="1" applyBorder="1"/>
    <xf numFmtId="173" fontId="5" fillId="52" borderId="71" xfId="2" applyNumberFormat="1" applyFont="1" applyFill="1" applyBorder="1"/>
    <xf numFmtId="173" fontId="5" fillId="38" borderId="72" xfId="1" applyNumberFormat="1" applyFont="1" applyFill="1" applyBorder="1" applyProtection="1"/>
    <xf numFmtId="173" fontId="5" fillId="38" borderId="73" xfId="1" applyNumberFormat="1" applyFont="1" applyFill="1" applyBorder="1" applyProtection="1"/>
    <xf numFmtId="173" fontId="5" fillId="38" borderId="66" xfId="1" applyNumberFormat="1" applyFont="1" applyFill="1" applyBorder="1" applyProtection="1"/>
    <xf numFmtId="173" fontId="5" fillId="38" borderId="67" xfId="1" applyNumberFormat="1" applyFont="1" applyFill="1" applyBorder="1" applyProtection="1"/>
    <xf numFmtId="173" fontId="0" fillId="51" borderId="60" xfId="0" applyNumberFormat="1" applyFont="1" applyFill="1" applyBorder="1" applyAlignment="1">
      <alignment horizontal="right"/>
    </xf>
    <xf numFmtId="173" fontId="0" fillId="51" borderId="61" xfId="0" applyNumberFormat="1" applyFont="1" applyFill="1" applyBorder="1" applyAlignment="1">
      <alignment horizontal="right"/>
    </xf>
    <xf numFmtId="173" fontId="0" fillId="51" borderId="61" xfId="0" applyNumberFormat="1" applyFill="1" applyBorder="1" applyAlignment="1">
      <alignment horizontal="right" vertical="top"/>
    </xf>
    <xf numFmtId="173" fontId="0" fillId="51" borderId="62" xfId="0" applyNumberFormat="1" applyFill="1" applyBorder="1" applyAlignment="1">
      <alignment horizontal="right" vertical="top"/>
    </xf>
    <xf numFmtId="173" fontId="0" fillId="52" borderId="72" xfId="0" applyNumberFormat="1" applyFont="1" applyFill="1" applyBorder="1" applyAlignment="1">
      <alignment horizontal="right" vertical="center"/>
    </xf>
    <xf numFmtId="1" fontId="3" fillId="2" borderId="122" xfId="0" applyNumberFormat="1" applyFont="1" applyFill="1" applyBorder="1" applyAlignment="1">
      <alignment horizontal="center" vertical="center"/>
    </xf>
    <xf numFmtId="10" fontId="0" fillId="0" borderId="122" xfId="0" applyNumberFormat="1" applyBorder="1" applyAlignment="1">
      <alignment horizontal="center" vertical="center"/>
    </xf>
    <xf numFmtId="0" fontId="5" fillId="0" borderId="122" xfId="7" applyFont="1" applyBorder="1" applyAlignment="1">
      <alignment horizontal="center" vertical="center" wrapText="1"/>
    </xf>
    <xf numFmtId="0" fontId="0" fillId="0" borderId="122" xfId="0" applyBorder="1" applyAlignment="1">
      <alignment horizontal="center" wrapText="1"/>
    </xf>
    <xf numFmtId="0" fontId="21" fillId="0" borderId="122" xfId="0" applyFont="1" applyFill="1" applyBorder="1" applyAlignment="1">
      <alignment horizontal="left" indent="1"/>
    </xf>
    <xf numFmtId="0" fontId="21" fillId="0" borderId="122" xfId="0" applyFont="1" applyBorder="1" applyAlignment="1">
      <alignment horizontal="left" indent="1"/>
    </xf>
    <xf numFmtId="0" fontId="28" fillId="0" borderId="122" xfId="75" applyFont="1" applyBorder="1" applyAlignment="1">
      <alignment horizontal="center" vertical="center"/>
    </xf>
    <xf numFmtId="0" fontId="19" fillId="0" borderId="122" xfId="75" applyFont="1" applyBorder="1" applyAlignment="1">
      <alignment horizontal="center"/>
    </xf>
    <xf numFmtId="175" fontId="5" fillId="36" borderId="122" xfId="75" applyNumberFormat="1" applyFont="1" applyFill="1" applyBorder="1" applyProtection="1"/>
    <xf numFmtId="172" fontId="6" fillId="38" borderId="122" xfId="1" applyNumberFormat="1" applyFont="1" applyFill="1" applyBorder="1" applyProtection="1"/>
    <xf numFmtId="0" fontId="0" fillId="3" borderId="122" xfId="0" applyFill="1" applyBorder="1" applyAlignment="1">
      <alignment horizontal="center" vertical="center" wrapText="1"/>
    </xf>
    <xf numFmtId="172" fontId="5" fillId="52" borderId="122" xfId="2" applyNumberFormat="1" applyFont="1" applyFill="1" applyBorder="1" applyAlignment="1">
      <alignment horizontal="right" vertical="center"/>
    </xf>
    <xf numFmtId="173" fontId="5" fillId="3" borderId="122" xfId="2" applyNumberFormat="1" applyFont="1" applyFill="1" applyBorder="1"/>
    <xf numFmtId="173" fontId="3" fillId="52" borderId="122" xfId="1" applyNumberFormat="1" applyFont="1" applyFill="1" applyBorder="1" applyAlignment="1">
      <alignment horizontal="right"/>
    </xf>
    <xf numFmtId="178" fontId="0" fillId="51" borderId="122" xfId="0" applyNumberFormat="1" applyFill="1" applyBorder="1" applyAlignment="1">
      <alignment horizontal="right" vertical="top"/>
    </xf>
    <xf numFmtId="173" fontId="5" fillId="38" borderId="122" xfId="1" applyNumberFormat="1" applyFont="1" applyFill="1" applyBorder="1" applyProtection="1"/>
    <xf numFmtId="14" fontId="5" fillId="3" borderId="122" xfId="2" applyNumberFormat="1" applyFont="1" applyFill="1" applyBorder="1"/>
    <xf numFmtId="14" fontId="5" fillId="3" borderId="122" xfId="2" applyNumberFormat="1" applyFont="1" applyFill="1" applyBorder="1" applyAlignment="1">
      <alignment horizontal="center" vertical="center"/>
    </xf>
    <xf numFmtId="172" fontId="5" fillId="3" borderId="122" xfId="2" applyNumberFormat="1" applyFont="1" applyFill="1" applyBorder="1"/>
    <xf numFmtId="252" fontId="0" fillId="3" borderId="60" xfId="0" applyNumberFormat="1" applyFill="1" applyBorder="1" applyAlignment="1">
      <alignment horizontal="right" vertical="top"/>
    </xf>
    <xf numFmtId="172" fontId="0" fillId="51" borderId="65" xfId="1" applyNumberFormat="1" applyFont="1" applyFill="1" applyBorder="1" applyAlignment="1">
      <alignment horizontal="right"/>
    </xf>
    <xf numFmtId="172" fontId="5" fillId="51" borderId="65" xfId="1" applyNumberFormat="1" applyFont="1" applyFill="1" applyBorder="1"/>
    <xf numFmtId="43" fontId="0" fillId="0" borderId="0" xfId="0" applyNumberFormat="1" applyAlignment="1">
      <alignment horizontal="left" vertical="top"/>
    </xf>
    <xf numFmtId="2" fontId="5" fillId="52" borderId="64" xfId="7" applyNumberFormat="1" applyFont="1" applyFill="1" applyBorder="1" applyAlignment="1">
      <alignment horizontal="center"/>
    </xf>
    <xf numFmtId="252" fontId="0" fillId="3" borderId="60" xfId="0" applyNumberFormat="1" applyFont="1" applyFill="1" applyBorder="1" applyAlignment="1">
      <alignment horizontal="right" vertical="top"/>
    </xf>
    <xf numFmtId="0" fontId="0" fillId="0" borderId="0" xfId="0" applyAlignment="1">
      <alignment horizont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43" fontId="0" fillId="0" borderId="0" xfId="0" applyNumberFormat="1" applyFill="1" applyBorder="1" applyAlignment="1">
      <alignment horizontal="left" vertical="top"/>
    </xf>
    <xf numFmtId="0" fontId="0" fillId="3" borderId="0" xfId="0" applyFont="1" applyFill="1" applyAlignment="1">
      <alignment horizontal="left" vertical="top" indent="1"/>
    </xf>
    <xf numFmtId="173" fontId="0" fillId="42" borderId="63" xfId="0" applyNumberFormat="1" applyFill="1" applyBorder="1" applyAlignment="1">
      <alignment horizontal="left" vertical="center" wrapText="1" indent="1"/>
    </xf>
    <xf numFmtId="0" fontId="0" fillId="3" borderId="99" xfId="0" applyFill="1" applyBorder="1" applyAlignment="1">
      <alignment horizontal="left" vertical="center" wrapText="1" indent="1"/>
    </xf>
    <xf numFmtId="0" fontId="0" fillId="3" borderId="100" xfId="0" applyFill="1" applyBorder="1" applyAlignment="1">
      <alignment horizontal="left" vertical="center" wrapText="1" indent="1"/>
    </xf>
    <xf numFmtId="0" fontId="0" fillId="3" borderId="94" xfId="0" applyFill="1" applyBorder="1" applyAlignment="1">
      <alignment horizontal="left" vertical="center" wrapText="1" indent="1"/>
    </xf>
    <xf numFmtId="0" fontId="0" fillId="3" borderId="101" xfId="0" applyFill="1" applyBorder="1" applyAlignment="1">
      <alignment horizontal="left" vertical="center" wrapText="1" indent="1"/>
    </xf>
    <xf numFmtId="0" fontId="0" fillId="3" borderId="102" xfId="0" applyFill="1" applyBorder="1" applyAlignment="1">
      <alignment horizontal="left" vertical="center" wrapText="1" indent="1"/>
    </xf>
    <xf numFmtId="0" fontId="0" fillId="3" borderId="96" xfId="0" applyFill="1" applyBorder="1" applyAlignment="1">
      <alignment horizontal="left" vertical="center" wrapText="1" indent="1"/>
    </xf>
    <xf numFmtId="3" fontId="0" fillId="0" borderId="123" xfId="0" applyNumberFormat="1" applyBorder="1" applyAlignment="1">
      <alignment horizontal="center" vertical="center" wrapText="1"/>
    </xf>
    <xf numFmtId="0" fontId="0" fillId="0" borderId="126" xfId="0" applyBorder="1" applyAlignment="1">
      <alignment horizontal="center" vertical="center" wrapText="1"/>
    </xf>
    <xf numFmtId="0" fontId="0" fillId="0" borderId="127" xfId="0" applyBorder="1" applyAlignment="1">
      <alignment horizontal="center" vertical="center" wrapText="1"/>
    </xf>
    <xf numFmtId="0" fontId="0" fillId="3" borderId="103" xfId="0" applyFill="1" applyBorder="1" applyAlignment="1">
      <alignment horizontal="left" vertical="center" wrapText="1" indent="1"/>
    </xf>
    <xf numFmtId="0" fontId="0" fillId="3" borderId="84" xfId="0" applyFill="1" applyBorder="1" applyAlignment="1">
      <alignment horizontal="left" vertical="center" wrapText="1" indent="1"/>
    </xf>
    <xf numFmtId="0" fontId="0" fillId="3" borderId="98" xfId="0" applyFill="1" applyBorder="1" applyAlignment="1">
      <alignment horizontal="left" vertical="center" wrapText="1" indent="1"/>
    </xf>
    <xf numFmtId="0" fontId="0" fillId="0" borderId="123" xfId="0" applyBorder="1" applyAlignment="1">
      <alignment horizontal="center" vertical="center" wrapText="1"/>
    </xf>
    <xf numFmtId="0" fontId="0" fillId="3" borderId="123" xfId="0" applyFill="1" applyBorder="1" applyAlignment="1">
      <alignment horizontal="left" vertical="center" indent="1"/>
    </xf>
    <xf numFmtId="0" fontId="0" fillId="3" borderId="127" xfId="0" applyFill="1" applyBorder="1" applyAlignment="1">
      <alignment horizontal="left" vertical="center" indent="1"/>
    </xf>
    <xf numFmtId="0" fontId="0" fillId="3" borderId="123" xfId="0" applyFill="1" applyBorder="1" applyAlignment="1">
      <alignment horizontal="left" vertical="center" wrapText="1" indent="1"/>
    </xf>
    <xf numFmtId="0" fontId="0" fillId="3" borderId="127" xfId="0" applyFill="1" applyBorder="1" applyAlignment="1">
      <alignment horizontal="left" vertical="center" wrapText="1" indent="1"/>
    </xf>
    <xf numFmtId="0" fontId="0" fillId="0" borderId="122" xfId="0" applyBorder="1" applyAlignment="1">
      <alignment horizontal="center"/>
    </xf>
    <xf numFmtId="0" fontId="29" fillId="0" borderId="122" xfId="92" applyBorder="1" applyAlignment="1">
      <alignment horizontal="center"/>
    </xf>
    <xf numFmtId="1" fontId="3" fillId="0" borderId="123" xfId="0" applyNumberFormat="1" applyFont="1" applyFill="1" applyBorder="1" applyAlignment="1">
      <alignment horizontal="center" vertical="center"/>
    </xf>
    <xf numFmtId="1" fontId="3" fillId="0" borderId="126" xfId="0" applyNumberFormat="1" applyFont="1" applyFill="1" applyBorder="1" applyAlignment="1">
      <alignment horizontal="center" vertical="center"/>
    </xf>
    <xf numFmtId="1" fontId="3" fillId="0" borderId="127" xfId="0" applyNumberFormat="1" applyFont="1" applyFill="1" applyBorder="1" applyAlignment="1">
      <alignment horizontal="center" vertical="center"/>
    </xf>
    <xf numFmtId="0" fontId="0" fillId="0" borderId="103" xfId="0" applyBorder="1" applyAlignment="1">
      <alignment horizontal="left"/>
    </xf>
    <xf numFmtId="0" fontId="0" fillId="0" borderId="84" xfId="0" applyBorder="1" applyAlignment="1">
      <alignment horizontal="left"/>
    </xf>
    <xf numFmtId="0" fontId="0" fillId="0" borderId="86" xfId="0" applyBorder="1" applyAlignment="1">
      <alignment horizontal="left"/>
    </xf>
    <xf numFmtId="0" fontId="0" fillId="0" borderId="101" xfId="0" applyBorder="1" applyAlignment="1">
      <alignment horizontal="left"/>
    </xf>
    <xf numFmtId="0" fontId="0" fillId="0" borderId="102" xfId="0" applyBorder="1" applyAlignment="1">
      <alignment horizontal="left"/>
    </xf>
    <xf numFmtId="0" fontId="0" fillId="0" borderId="82" xfId="0" applyBorder="1" applyAlignment="1">
      <alignment horizontal="left"/>
    </xf>
    <xf numFmtId="0" fontId="0" fillId="0" borderId="99" xfId="0" applyBorder="1" applyAlignment="1">
      <alignment horizontal="left"/>
    </xf>
    <xf numFmtId="0" fontId="0" fillId="0" borderId="100" xfId="0" applyBorder="1" applyAlignment="1">
      <alignment horizontal="left"/>
    </xf>
    <xf numFmtId="0" fontId="0" fillId="0" borderId="87" xfId="0" applyBorder="1" applyAlignment="1">
      <alignment horizontal="left"/>
    </xf>
    <xf numFmtId="0" fontId="0" fillId="0" borderId="97" xfId="0" applyBorder="1" applyAlignment="1">
      <alignment horizontal="center"/>
    </xf>
    <xf numFmtId="0" fontId="0" fillId="0" borderId="98"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0" fontId="0" fillId="53" borderId="0" xfId="0" applyFill="1" applyAlignment="1">
      <alignment horizontal="left" wrapText="1"/>
    </xf>
    <xf numFmtId="3" fontId="0" fillId="0" borderId="127" xfId="0" applyNumberFormat="1" applyBorder="1" applyAlignment="1">
      <alignment horizontal="center" vertical="center" wrapText="1"/>
    </xf>
    <xf numFmtId="0" fontId="5" fillId="36" borderId="122" xfId="75" applyNumberFormat="1" applyFont="1" applyFill="1" applyBorder="1" applyAlignment="1" applyProtection="1">
      <alignment horizontal="left" vertical="top" wrapText="1"/>
    </xf>
    <xf numFmtId="0" fontId="0" fillId="0" borderId="122" xfId="0" applyBorder="1" applyAlignment="1">
      <alignment horizontal="left" vertical="top" wrapText="1"/>
    </xf>
    <xf numFmtId="0" fontId="28" fillId="0" borderId="122" xfId="75" applyFont="1" applyBorder="1" applyAlignment="1">
      <alignment horizontal="center" vertical="center" wrapText="1"/>
    </xf>
    <xf numFmtId="0" fontId="0" fillId="0" borderId="122"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31" xfId="0" applyNumberFormat="1" applyFont="1" applyFill="1" applyBorder="1" applyAlignment="1">
      <alignment horizontal="center" vertical="top" wrapText="1"/>
    </xf>
    <xf numFmtId="0" fontId="0" fillId="53" borderId="1" xfId="0" applyNumberFormat="1" applyFont="1" applyFill="1" applyBorder="1" applyAlignment="1">
      <alignment horizontal="center" vertical="top" wrapText="1"/>
    </xf>
    <xf numFmtId="0" fontId="0" fillId="53" borderId="108" xfId="0" applyNumberFormat="1" applyFont="1" applyFill="1" applyBorder="1" applyAlignment="1">
      <alignment horizontal="center" vertical="top" wrapText="1"/>
    </xf>
  </cellXfs>
  <cellStyles count="51685">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87">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86552/Forecomp_May_2020.pdf" TargetMode="External"/><Relationship Id="rId1" Type="http://schemas.openxmlformats.org/officeDocument/2006/relationships/hyperlink" Target="https://www.gov.uk/government/statistics/forecasts-for-the-uk-economy-august-2018"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activeCell="C10" sqref="C10"/>
    </sheetView>
  </sheetViews>
  <sheetFormatPr defaultRowHeight="12.75"/>
  <cols>
    <col min="1" max="1" width="8.375" customWidth="1"/>
    <col min="2" max="2" width="27.125" customWidth="1"/>
    <col min="3" max="6" width="14.125" customWidth="1"/>
    <col min="7" max="7" width="14.125" style="171" customWidth="1"/>
    <col min="8" max="11" width="14.125" customWidth="1"/>
  </cols>
  <sheetData>
    <row r="1" spans="1:11" s="18" customFormat="1" ht="20.25">
      <c r="A1" s="720" t="s">
        <v>0</v>
      </c>
      <c r="B1" s="721"/>
      <c r="C1" s="721"/>
      <c r="D1" s="722"/>
      <c r="E1" s="723"/>
      <c r="F1" s="721"/>
      <c r="G1" s="724"/>
      <c r="H1" s="721"/>
      <c r="I1" s="721"/>
      <c r="J1" s="721"/>
      <c r="K1" s="721"/>
    </row>
    <row r="2" spans="1:11" s="18" customFormat="1" ht="20.25">
      <c r="A2" s="720" t="str">
        <f>'RFPR cover'!C5</f>
        <v>NGET (SO)</v>
      </c>
      <c r="B2" s="721"/>
      <c r="C2" s="721"/>
      <c r="D2" s="723"/>
      <c r="E2" s="723"/>
      <c r="F2" s="721"/>
      <c r="G2" s="724"/>
      <c r="H2" s="721"/>
      <c r="I2" s="721"/>
      <c r="J2" s="721"/>
      <c r="K2" s="721"/>
    </row>
    <row r="3" spans="1:11" s="18" customFormat="1" ht="20.25">
      <c r="A3" s="720">
        <f>'RFPR cover'!C7</f>
        <v>2020</v>
      </c>
      <c r="B3" s="721"/>
      <c r="C3" s="721"/>
      <c r="D3" s="723"/>
      <c r="E3" s="723"/>
      <c r="F3" s="721"/>
      <c r="G3" s="724"/>
      <c r="H3" s="721"/>
      <c r="I3" s="721"/>
      <c r="J3" s="721"/>
      <c r="K3" s="721"/>
    </row>
    <row r="4" spans="1:11" ht="14.25">
      <c r="A4" s="17"/>
      <c r="B4" s="17"/>
      <c r="C4" s="17"/>
      <c r="D4" s="17"/>
      <c r="E4" s="17"/>
      <c r="H4" s="4"/>
      <c r="I4" s="4"/>
      <c r="J4" s="4"/>
    </row>
    <row r="5" spans="1:11" ht="13.5" customHeight="1">
      <c r="A5" s="17"/>
      <c r="B5" s="837" t="s">
        <v>1</v>
      </c>
      <c r="C5" s="838" t="s">
        <v>2</v>
      </c>
      <c r="D5" s="282"/>
      <c r="E5" s="10"/>
      <c r="F5" s="839"/>
      <c r="G5" s="448" t="s">
        <v>3</v>
      </c>
      <c r="H5" s="4"/>
      <c r="I5" s="4"/>
      <c r="J5" s="4"/>
    </row>
    <row r="6" spans="1:11" ht="13.5" customHeight="1">
      <c r="A6" s="17"/>
      <c r="B6" s="837" t="s">
        <v>4</v>
      </c>
      <c r="C6" s="840" t="str">
        <f>INDEX(Data!$A$73:$A$100,MATCH($C$5,Data!$B$73:$B$100,0),0)&amp;"1"</f>
        <v>ET1</v>
      </c>
      <c r="D6" s="10"/>
      <c r="E6" s="10"/>
      <c r="F6" s="841"/>
      <c r="G6" s="448" t="s">
        <v>5</v>
      </c>
      <c r="H6" s="4"/>
      <c r="I6" s="4"/>
      <c r="J6" s="4"/>
    </row>
    <row r="7" spans="1:11" ht="25.5">
      <c r="A7" s="17"/>
      <c r="B7" s="842" t="s">
        <v>6</v>
      </c>
      <c r="C7" s="843">
        <v>2020</v>
      </c>
      <c r="D7" s="9"/>
      <c r="E7" s="10"/>
      <c r="F7" s="844"/>
      <c r="G7" s="449" t="s">
        <v>7</v>
      </c>
      <c r="H7" s="4"/>
      <c r="I7" s="4"/>
      <c r="J7" s="4"/>
    </row>
    <row r="8" spans="1:11" ht="14.25">
      <c r="A8" s="17"/>
      <c r="B8" s="837" t="s">
        <v>8</v>
      </c>
      <c r="C8" s="845">
        <v>1</v>
      </c>
      <c r="D8" s="10"/>
      <c r="E8" s="9"/>
      <c r="F8" s="846"/>
      <c r="G8" s="448" t="s">
        <v>9</v>
      </c>
      <c r="H8" s="4"/>
      <c r="I8" s="4"/>
      <c r="J8" s="4"/>
    </row>
    <row r="9" spans="1:11" ht="14.25">
      <c r="A9" s="17"/>
      <c r="B9" s="837" t="s">
        <v>10</v>
      </c>
      <c r="C9" s="847">
        <v>44071</v>
      </c>
      <c r="D9" s="9"/>
      <c r="E9" s="9"/>
      <c r="F9" s="848"/>
      <c r="G9" s="448" t="s">
        <v>11</v>
      </c>
      <c r="H9" s="4"/>
      <c r="I9" s="4"/>
      <c r="J9" s="4"/>
    </row>
    <row r="10" spans="1:11" ht="14.25">
      <c r="A10" s="17"/>
      <c r="B10" s="837" t="s">
        <v>12</v>
      </c>
      <c r="C10" s="849">
        <f>SUMIF(Data!$B$72:$B$100,C5,Data!$C$72:$C$100)</f>
        <v>7.0000000000000007E-2</v>
      </c>
      <c r="D10" s="9"/>
      <c r="E10" s="9"/>
      <c r="F10" s="850"/>
      <c r="G10" s="448" t="s">
        <v>13</v>
      </c>
      <c r="H10" s="4"/>
      <c r="I10" s="4"/>
      <c r="J10" s="4"/>
    </row>
    <row r="11" spans="1:11" ht="14.25">
      <c r="A11" s="17"/>
      <c r="B11" s="837" t="s">
        <v>14</v>
      </c>
      <c r="C11" s="851">
        <f>SUMIF(Data!$B$72:$B$100,C5,Data!$D$72:$D$100)</f>
        <v>0.46889999999999998</v>
      </c>
      <c r="D11" s="10"/>
      <c r="E11" s="10"/>
      <c r="F11" s="852"/>
      <c r="G11" s="448" t="s">
        <v>15</v>
      </c>
      <c r="H11" s="4"/>
      <c r="I11" s="4"/>
      <c r="J11" s="4"/>
    </row>
    <row r="12" spans="1:11">
      <c r="A12" s="17"/>
      <c r="B12" s="837" t="s">
        <v>16</v>
      </c>
      <c r="C12" s="849">
        <f>SUMIF(Data!$B$72:$B$100,C5,Data!$E$72:$E$100)</f>
        <v>0.6</v>
      </c>
      <c r="D12" s="9"/>
      <c r="E12" s="9"/>
      <c r="F12" s="9"/>
      <c r="G12" s="450"/>
    </row>
    <row r="13" spans="1:11">
      <c r="A13" s="17"/>
      <c r="B13" s="837" t="s">
        <v>17</v>
      </c>
      <c r="C13" s="840">
        <f>INDEX(Data!$G$73:$G$100,MATCH($C$5,Data!$B$73:$B$100,0),0)</f>
        <v>2014</v>
      </c>
      <c r="D13" s="9"/>
      <c r="E13" s="9"/>
      <c r="F13" s="853" t="s">
        <v>18</v>
      </c>
    </row>
    <row r="14" spans="1:11">
      <c r="A14" s="17"/>
      <c r="B14" s="854" t="s">
        <v>19</v>
      </c>
      <c r="C14" s="840" t="str">
        <f>INDEX(Data!$H$73:$H$100,MATCH($C$5,Data!$B$73:$B$100,0),0)</f>
        <v>£m 09/10</v>
      </c>
      <c r="D14" s="9"/>
      <c r="E14" s="9"/>
      <c r="F14" s="855">
        <v>0.1</v>
      </c>
      <c r="G14" s="450"/>
    </row>
    <row r="15" spans="1:11">
      <c r="A15" s="17"/>
      <c r="B15" s="9"/>
      <c r="C15" s="9"/>
      <c r="D15" s="9"/>
      <c r="E15" s="9"/>
      <c r="F15" s="9"/>
      <c r="G15" s="450"/>
    </row>
    <row r="85" spans="1:1">
      <c r="A85" s="162"/>
    </row>
  </sheetData>
  <sheetProtection algorithmName="SHA-512" hashValue="b0OjALpGYBFwDiDZiYlMd5Czf2kKHylfA7X71gVVAtsRfN+fbgb5r3ZmYFMWXsRJNQ+W/hUFB4KFBmlFZr/Cjg==" saltValue="N/nGMOX8pKp/3eW+irVFSg==" spinCount="100000"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scale="49" orientation="portrait"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topLeftCell="B1" zoomScale="80" zoomScaleNormal="80" workbookViewId="0">
      <pane ySplit="6" topLeftCell="A7" activePane="bottomLeft" state="frozen"/>
      <selection activeCell="B75" sqref="A1:XFD1048576"/>
      <selection pane="bottomLeft" activeCell="J28" sqref="J28"/>
    </sheetView>
  </sheetViews>
  <sheetFormatPr defaultRowHeight="12.75"/>
  <cols>
    <col min="1" max="1" width="8.375" customWidth="1"/>
    <col min="2" max="2" width="79.625" customWidth="1"/>
    <col min="3" max="3" width="14.125" style="98" customWidth="1"/>
    <col min="4" max="11" width="11.125" customWidth="1"/>
    <col min="12" max="12" width="5" customWidth="1"/>
  </cols>
  <sheetData>
    <row r="1" spans="1:12" s="18" customFormat="1" ht="20.25">
      <c r="A1" s="856" t="s">
        <v>203</v>
      </c>
      <c r="B1" s="732"/>
      <c r="C1" s="231"/>
      <c r="D1" s="211"/>
      <c r="E1" s="211"/>
      <c r="F1" s="211"/>
      <c r="G1" s="211"/>
      <c r="H1" s="211"/>
      <c r="I1" s="212"/>
      <c r="J1" s="212"/>
      <c r="K1" s="213"/>
      <c r="L1" s="876"/>
    </row>
    <row r="2" spans="1:12" s="18" customFormat="1" ht="20.25">
      <c r="A2" s="725" t="str">
        <f>'RFPR cover'!C5</f>
        <v>NGET (SO)</v>
      </c>
      <c r="B2" s="720"/>
      <c r="C2" s="97"/>
      <c r="D2" s="16"/>
      <c r="E2" s="16"/>
      <c r="F2" s="16"/>
      <c r="G2" s="16"/>
      <c r="H2" s="16"/>
      <c r="I2" s="15"/>
      <c r="J2" s="15"/>
      <c r="K2" s="15"/>
      <c r="L2" s="93"/>
    </row>
    <row r="3" spans="1:12" s="23" customFormat="1" ht="23.25">
      <c r="A3" s="728">
        <f>'RFPR cover'!C7</f>
        <v>2020</v>
      </c>
      <c r="B3" s="734" t="str">
        <f>'R1 - RoRE'!B3</f>
        <v>Not required to be completed for System Operator</v>
      </c>
      <c r="C3" s="233"/>
      <c r="D3" s="232"/>
      <c r="E3" s="232"/>
      <c r="F3" s="232"/>
      <c r="G3" s="232"/>
      <c r="H3" s="232"/>
      <c r="I3" s="210"/>
      <c r="J3" s="210"/>
      <c r="K3" s="210"/>
      <c r="L3" s="215"/>
    </row>
    <row r="4" spans="1:12" s="2" customFormat="1" ht="12.75" customHeight="1">
      <c r="C4" s="98"/>
    </row>
    <row r="5" spans="1:12" s="2" customFormat="1">
      <c r="B5" s="3"/>
      <c r="C5" s="98"/>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row>
    <row r="6" spans="1:12" s="2" customFormat="1">
      <c r="C6" s="98"/>
      <c r="D6" s="90">
        <f>'RFPR cover'!$C$13</f>
        <v>2014</v>
      </c>
      <c r="E6" s="91">
        <f>D6+1</f>
        <v>2015</v>
      </c>
      <c r="F6" s="91">
        <f t="shared" ref="F6:K6" si="0">E6+1</f>
        <v>2016</v>
      </c>
      <c r="G6" s="91">
        <f t="shared" si="0"/>
        <v>2017</v>
      </c>
      <c r="H6" s="91">
        <f t="shared" si="0"/>
        <v>2018</v>
      </c>
      <c r="I6" s="91">
        <f t="shared" si="0"/>
        <v>2019</v>
      </c>
      <c r="J6" s="91">
        <f t="shared" si="0"/>
        <v>2020</v>
      </c>
      <c r="K6" s="91">
        <f t="shared" si="0"/>
        <v>2021</v>
      </c>
    </row>
    <row r="7" spans="1:12" s="2" customFormat="1">
      <c r="C7" s="98"/>
    </row>
    <row r="8" spans="1:12" s="2" customFormat="1">
      <c r="B8" s="34" t="s">
        <v>308</v>
      </c>
      <c r="C8" s="99"/>
      <c r="D8" s="40"/>
      <c r="E8" s="40"/>
      <c r="F8" s="40"/>
      <c r="G8" s="40"/>
      <c r="H8" s="40"/>
      <c r="I8" s="40"/>
      <c r="J8" s="40"/>
      <c r="K8" s="40"/>
    </row>
    <row r="9" spans="1:12" s="2" customFormat="1">
      <c r="B9" s="183" t="s">
        <v>370</v>
      </c>
      <c r="C9" s="112" t="s">
        <v>297</v>
      </c>
      <c r="D9" s="492">
        <v>1.1012071068894389</v>
      </c>
      <c r="E9" s="492">
        <v>3.1034358804309723</v>
      </c>
      <c r="F9" s="492">
        <v>2.0735882645238095</v>
      </c>
      <c r="G9" s="492">
        <v>1.4602330799999996</v>
      </c>
      <c r="H9" s="492">
        <v>1.67</v>
      </c>
      <c r="I9" s="492">
        <v>3.3679999999999999</v>
      </c>
      <c r="J9" s="492">
        <v>2.9086006638378374</v>
      </c>
      <c r="K9" s="492">
        <v>1.4426582310000002</v>
      </c>
    </row>
    <row r="10" spans="1:12" s="2" customFormat="1">
      <c r="B10" s="183" t="s">
        <v>371</v>
      </c>
      <c r="C10" s="112" t="s">
        <v>297</v>
      </c>
      <c r="D10" s="760">
        <v>0</v>
      </c>
      <c r="E10" s="760">
        <v>0</v>
      </c>
      <c r="F10" s="760">
        <v>0</v>
      </c>
      <c r="G10" s="760">
        <v>0</v>
      </c>
      <c r="H10" s="760">
        <v>0</v>
      </c>
      <c r="I10" s="760">
        <v>0</v>
      </c>
      <c r="J10" s="760">
        <v>0</v>
      </c>
      <c r="K10" s="760">
        <v>0</v>
      </c>
    </row>
    <row r="11" spans="1:12" s="2" customFormat="1">
      <c r="B11" s="183" t="s">
        <v>372</v>
      </c>
      <c r="C11" s="112" t="s">
        <v>297</v>
      </c>
      <c r="D11" s="492">
        <v>0.1101207106889439</v>
      </c>
      <c r="E11" s="492">
        <v>0.31034358804309725</v>
      </c>
      <c r="F11" s="492">
        <v>0.20735882645238096</v>
      </c>
      <c r="G11" s="492">
        <v>0.14602330799999996</v>
      </c>
      <c r="H11" s="492">
        <v>0.16700000000000001</v>
      </c>
      <c r="I11" s="492">
        <v>0.33679999999999999</v>
      </c>
      <c r="J11" s="492">
        <v>0.29086006638378376</v>
      </c>
      <c r="K11" s="492">
        <v>0.14426582310000002</v>
      </c>
    </row>
    <row r="12" spans="1:12" s="5" customFormat="1">
      <c r="B12" s="34" t="s">
        <v>373</v>
      </c>
      <c r="C12" s="112" t="s">
        <v>297</v>
      </c>
      <c r="D12" s="508">
        <f>D9-D10-D11</f>
        <v>0.99108639620049499</v>
      </c>
      <c r="E12" s="509">
        <f t="shared" ref="E12:K12" si="1">E9-E10-E11</f>
        <v>2.7930922923878749</v>
      </c>
      <c r="F12" s="509">
        <f t="shared" si="1"/>
        <v>1.8662294380714286</v>
      </c>
      <c r="G12" s="509">
        <f t="shared" si="1"/>
        <v>1.3142097719999997</v>
      </c>
      <c r="H12" s="509">
        <f t="shared" si="1"/>
        <v>1.5029999999999999</v>
      </c>
      <c r="I12" s="509">
        <f t="shared" si="1"/>
        <v>3.0312000000000001</v>
      </c>
      <c r="J12" s="509">
        <f t="shared" si="1"/>
        <v>2.6177405974540537</v>
      </c>
      <c r="K12" s="509">
        <f t="shared" si="1"/>
        <v>1.2983924079000002</v>
      </c>
      <c r="L12" s="2"/>
    </row>
    <row r="13" spans="1:12" s="5" customFormat="1">
      <c r="B13" s="34"/>
      <c r="C13" s="98"/>
      <c r="D13" s="35"/>
      <c r="E13" s="35"/>
      <c r="F13" s="35"/>
      <c r="G13" s="35"/>
      <c r="H13" s="35"/>
      <c r="I13" s="35"/>
      <c r="J13" s="35"/>
      <c r="K13" s="35"/>
      <c r="L13" s="2"/>
    </row>
    <row r="14" spans="1:12" s="2" customFormat="1">
      <c r="B14" s="34" t="s">
        <v>374</v>
      </c>
      <c r="C14" s="99"/>
      <c r="D14" s="40"/>
      <c r="E14" s="40"/>
      <c r="F14" s="40"/>
      <c r="G14" s="40"/>
      <c r="H14" s="40"/>
      <c r="I14" s="40"/>
      <c r="J14" s="40"/>
      <c r="K14" s="40"/>
    </row>
    <row r="15" spans="1:12" s="2" customFormat="1" ht="13.15" customHeight="1">
      <c r="B15" s="183" t="s">
        <v>375</v>
      </c>
      <c r="C15" s="112" t="s">
        <v>297</v>
      </c>
      <c r="D15" s="760">
        <v>0</v>
      </c>
      <c r="E15" s="760">
        <v>0</v>
      </c>
      <c r="F15" s="760">
        <v>0</v>
      </c>
      <c r="G15" s="760">
        <v>0</v>
      </c>
      <c r="H15" s="760">
        <v>0</v>
      </c>
      <c r="I15" s="760">
        <v>0</v>
      </c>
      <c r="J15" s="760">
        <v>0</v>
      </c>
      <c r="K15" s="760">
        <v>0</v>
      </c>
    </row>
    <row r="16" spans="1:12" s="2" customFormat="1">
      <c r="B16" s="183" t="s">
        <v>376</v>
      </c>
      <c r="C16" s="112" t="s">
        <v>297</v>
      </c>
      <c r="D16" s="760">
        <v>0</v>
      </c>
      <c r="E16" s="760">
        <v>0</v>
      </c>
      <c r="F16" s="760">
        <v>0</v>
      </c>
      <c r="G16" s="760">
        <v>0</v>
      </c>
      <c r="H16" s="760">
        <v>0</v>
      </c>
      <c r="I16" s="760">
        <v>0</v>
      </c>
      <c r="J16" s="760">
        <v>0</v>
      </c>
      <c r="K16" s="760">
        <v>0</v>
      </c>
    </row>
    <row r="17" spans="2:12" s="5" customFormat="1">
      <c r="B17" s="34" t="s">
        <v>309</v>
      </c>
      <c r="C17" s="112" t="s">
        <v>297</v>
      </c>
      <c r="D17" s="764">
        <f>D15-D16</f>
        <v>0</v>
      </c>
      <c r="E17" s="764">
        <f t="shared" ref="E17:K17" si="2">E15-E16</f>
        <v>0</v>
      </c>
      <c r="F17" s="764">
        <f t="shared" si="2"/>
        <v>0</v>
      </c>
      <c r="G17" s="764">
        <f t="shared" si="2"/>
        <v>0</v>
      </c>
      <c r="H17" s="764">
        <f t="shared" si="2"/>
        <v>0</v>
      </c>
      <c r="I17" s="764">
        <f t="shared" si="2"/>
        <v>0</v>
      </c>
      <c r="J17" s="764">
        <f t="shared" si="2"/>
        <v>0</v>
      </c>
      <c r="K17" s="764">
        <f t="shared" si="2"/>
        <v>0</v>
      </c>
      <c r="L17" s="2"/>
    </row>
    <row r="18" spans="2:12" s="5" customFormat="1">
      <c r="B18" s="34"/>
      <c r="C18" s="98"/>
      <c r="D18" s="35"/>
      <c r="E18" s="35"/>
      <c r="F18" s="35"/>
      <c r="G18" s="35"/>
      <c r="H18" s="35"/>
      <c r="I18" s="35"/>
      <c r="J18" s="35"/>
      <c r="K18" s="35"/>
      <c r="L18" s="2"/>
    </row>
    <row r="19" spans="2:12" s="2" customFormat="1">
      <c r="B19" s="34" t="s">
        <v>377</v>
      </c>
      <c r="C19" s="99"/>
      <c r="D19" s="40"/>
      <c r="E19" s="40"/>
      <c r="F19" s="40"/>
      <c r="G19" s="40"/>
      <c r="H19" s="40"/>
      <c r="I19" s="40"/>
      <c r="J19" s="40"/>
      <c r="K19" s="40"/>
    </row>
    <row r="20" spans="2:12" s="2" customFormat="1">
      <c r="B20" s="183" t="s">
        <v>378</v>
      </c>
      <c r="C20" s="112" t="s">
        <v>297</v>
      </c>
      <c r="D20" s="760">
        <v>0</v>
      </c>
      <c r="E20" s="760">
        <v>0</v>
      </c>
      <c r="F20" s="760">
        <v>0.53885612034590613</v>
      </c>
      <c r="G20" s="760">
        <v>1.963307751084302</v>
      </c>
      <c r="H20" s="760">
        <v>2.6854281902377255</v>
      </c>
      <c r="I20" s="760">
        <v>4.7335046932508735</v>
      </c>
      <c r="J20" s="760">
        <v>4.1886552517241302</v>
      </c>
      <c r="K20" s="760">
        <v>8.1125815134775987</v>
      </c>
    </row>
    <row r="21" spans="2:12" s="2" customFormat="1">
      <c r="B21" s="183" t="s">
        <v>372</v>
      </c>
      <c r="C21" s="112" t="s">
        <v>297</v>
      </c>
      <c r="D21" s="760">
        <v>0</v>
      </c>
      <c r="E21" s="760">
        <v>0</v>
      </c>
      <c r="F21" s="760">
        <v>7.1842722256491243E-2</v>
      </c>
      <c r="G21" s="760">
        <v>0.26024439733367477</v>
      </c>
      <c r="H21" s="760">
        <v>0.36900940186698078</v>
      </c>
      <c r="I21" s="760">
        <v>0.67043730674912749</v>
      </c>
      <c r="J21" s="760">
        <v>0.68703780654764468</v>
      </c>
      <c r="K21" s="760">
        <v>1.3963016744168477</v>
      </c>
    </row>
    <row r="22" spans="2:12" s="2" customFormat="1">
      <c r="B22" s="21"/>
      <c r="C22" s="100"/>
      <c r="D22" s="21"/>
      <c r="E22" s="21"/>
      <c r="F22" s="21"/>
      <c r="G22" s="21"/>
      <c r="H22" s="21"/>
      <c r="I22" s="21"/>
      <c r="J22" s="21"/>
      <c r="K22" s="21"/>
    </row>
    <row r="23" spans="2:12" s="2" customFormat="1">
      <c r="B23" s="183" t="s">
        <v>379</v>
      </c>
      <c r="C23" s="112" t="s">
        <v>297</v>
      </c>
      <c r="D23" s="760">
        <v>0</v>
      </c>
      <c r="E23" s="760">
        <v>0</v>
      </c>
      <c r="F23" s="760">
        <v>0</v>
      </c>
      <c r="G23" s="760">
        <v>0</v>
      </c>
      <c r="H23" s="760">
        <v>0</v>
      </c>
      <c r="I23" s="760">
        <v>0</v>
      </c>
      <c r="J23" s="760">
        <v>0</v>
      </c>
      <c r="K23" s="760">
        <v>0</v>
      </c>
    </row>
    <row r="24" spans="2:12" s="2" customFormat="1">
      <c r="B24" s="21"/>
      <c r="C24" s="100"/>
      <c r="D24" s="21"/>
      <c r="E24" s="21"/>
      <c r="F24" s="21"/>
      <c r="G24" s="21"/>
      <c r="H24" s="21"/>
      <c r="I24" s="21"/>
      <c r="J24" s="21"/>
      <c r="K24" s="21"/>
    </row>
    <row r="25" spans="2:12" s="2" customFormat="1" hidden="1">
      <c r="B25" s="60"/>
      <c r="C25" s="110"/>
      <c r="D25" s="60"/>
      <c r="E25" s="60"/>
      <c r="F25" s="60"/>
      <c r="G25" s="60"/>
      <c r="H25" s="60"/>
      <c r="I25" s="60"/>
      <c r="J25" s="60"/>
      <c r="K25" s="60"/>
      <c r="L25" s="60"/>
    </row>
    <row r="26" spans="2:12" s="2" customFormat="1" hidden="1">
      <c r="B26" s="21"/>
      <c r="C26" s="100"/>
      <c r="D26" s="21"/>
      <c r="E26" s="21"/>
      <c r="F26" s="21"/>
      <c r="G26" s="21"/>
      <c r="H26" s="21"/>
      <c r="I26" s="21"/>
      <c r="J26" s="21"/>
      <c r="K26" s="21"/>
    </row>
    <row r="27" spans="2:12" s="2" customFormat="1">
      <c r="B27" s="34" t="s">
        <v>380</v>
      </c>
      <c r="C27" s="100"/>
      <c r="D27" s="21"/>
      <c r="E27" s="21"/>
      <c r="F27" s="21"/>
      <c r="G27" s="21"/>
      <c r="H27" s="21"/>
      <c r="I27" s="21"/>
      <c r="J27" s="21"/>
      <c r="K27" s="21"/>
    </row>
    <row r="28" spans="2:12" s="2" customFormat="1">
      <c r="B28" s="183" t="s">
        <v>381</v>
      </c>
      <c r="C28" s="114" t="str">
        <f>'RFPR cover'!$C$14</f>
        <v>£m 09/10</v>
      </c>
      <c r="D28" s="563">
        <f>(SUM(D10,D11,D21)-D23)/Data!C34</f>
        <v>9.4387368295858531E-2</v>
      </c>
      <c r="E28" s="563">
        <f>(SUM(E10,E11,E21)-E23)/Data!D34</f>
        <v>0.26089019999179858</v>
      </c>
      <c r="F28" s="563">
        <f>(SUM(F10,F11,F21)-F23)/Data!E34</f>
        <v>0.23220824089559627</v>
      </c>
      <c r="G28" s="563">
        <f>(SUM(G10,G11,G21)-G23)/Data!F34</f>
        <v>0.33079928441889184</v>
      </c>
      <c r="H28" s="563">
        <f>(SUM(H10,H11,H21)-H23)/Data!G34</f>
        <v>0.42069761743067802</v>
      </c>
      <c r="I28" s="563">
        <f>(SUM(I10,I11,I21)-I23)/Data!H34</f>
        <v>0.7671106074143299</v>
      </c>
      <c r="J28" s="563">
        <f>(SUM(J10,J11,J21)-J23)/Data!I34</f>
        <v>0.72597246904712853</v>
      </c>
      <c r="K28" s="563">
        <f>(SUM(K10,K11,K21)-K23)/Data!J34</f>
        <v>1.1245698296239062</v>
      </c>
      <c r="L28" s="21"/>
    </row>
  </sheetData>
  <sheetProtection algorithmName="SHA-512" hashValue="g+TvdIoDDdNLQekvRI2z+pdwoXmNmwRJlMeJuGSnRLRBJa4wjJoKz3QASQVkJbuoBf06VYKH3xlQmKGX0CNbJg==" saltValue="pSwuHtk3pAMeQf9ujxu/PA==" spinCount="100000" sheet="1" formatCells="0" formatColumns="0" formatRows="0" insertColumns="0" insertRows="0" insertHyperlinks="0" deleteColumns="0" deleteRows="0" sort="0" autoFilter="0" pivotTables="0"/>
  <conditionalFormatting sqref="D6:K6">
    <cfRule type="expression" dxfId="53" priority="24">
      <formula>AND(D$5="Actuals",E$5="Forecast")</formula>
    </cfRule>
  </conditionalFormatting>
  <conditionalFormatting sqref="D5:K5">
    <cfRule type="expression" dxfId="5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1"/>
  <sheetViews>
    <sheetView showGridLines="0" topLeftCell="C1" zoomScale="70" zoomScaleNormal="70" workbookViewId="0">
      <pane ySplit="6" topLeftCell="A13" activePane="bottomLeft" state="frozen"/>
      <selection activeCell="B75" sqref="A1:XFD1048576"/>
      <selection pane="bottomLeft" activeCell="K65" sqref="K65"/>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18" customFormat="1" ht="20.25">
      <c r="A1" s="856" t="s">
        <v>204</v>
      </c>
      <c r="B1" s="732"/>
      <c r="C1" s="211"/>
      <c r="D1" s="211"/>
      <c r="E1" s="211"/>
      <c r="F1" s="211"/>
      <c r="G1" s="211"/>
      <c r="H1" s="211"/>
      <c r="I1" s="212"/>
      <c r="J1" s="212"/>
      <c r="K1" s="213"/>
      <c r="L1" s="213"/>
      <c r="M1" s="213"/>
      <c r="N1" s="876"/>
    </row>
    <row r="2" spans="1:14" s="18" customFormat="1" ht="20.25">
      <c r="A2" s="725" t="str">
        <f>'RFPR cover'!C5</f>
        <v>NGET (SO)</v>
      </c>
      <c r="B2" s="720"/>
      <c r="C2" s="16"/>
      <c r="D2" s="16"/>
      <c r="E2" s="16"/>
      <c r="F2" s="16"/>
      <c r="G2" s="16"/>
      <c r="H2" s="16"/>
      <c r="I2" s="15"/>
      <c r="J2" s="15"/>
      <c r="K2" s="15"/>
      <c r="L2" s="15"/>
      <c r="M2" s="15"/>
      <c r="N2" s="93"/>
    </row>
    <row r="3" spans="1:14" s="18" customFormat="1" ht="23.25">
      <c r="A3" s="728">
        <f>'RFPR cover'!C7</f>
        <v>2020</v>
      </c>
      <c r="B3" s="734" t="str">
        <f>'R1 - RoRE'!B3</f>
        <v>Not required to be completed for System Operator</v>
      </c>
      <c r="C3" s="214"/>
      <c r="D3" s="214"/>
      <c r="E3" s="214"/>
      <c r="F3" s="214"/>
      <c r="G3" s="214"/>
      <c r="H3" s="214"/>
      <c r="I3" s="210"/>
      <c r="J3" s="210"/>
      <c r="K3" s="210"/>
      <c r="L3" s="210"/>
      <c r="M3" s="210"/>
      <c r="N3" s="215"/>
    </row>
    <row r="4" spans="1:14" s="18" customFormat="1" ht="12.75" customHeight="1">
      <c r="A4" s="25"/>
      <c r="B4" s="25"/>
      <c r="C4" s="25"/>
      <c r="D4" s="25"/>
      <c r="E4" s="25"/>
      <c r="F4" s="25"/>
      <c r="G4" s="25"/>
      <c r="H4" s="25"/>
      <c r="I4" s="888"/>
      <c r="J4" s="888"/>
      <c r="K4" s="888"/>
      <c r="L4" s="20"/>
    </row>
    <row r="5" spans="1:14" s="2" customFormat="1">
      <c r="B5" s="3"/>
      <c r="C5" s="3"/>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row>
    <row r="6" spans="1:14" s="2" customFormat="1" ht="25.5">
      <c r="D6" s="90">
        <f>'RFPR cover'!$C$13</f>
        <v>2014</v>
      </c>
      <c r="E6" s="91">
        <f>D6+1</f>
        <v>2015</v>
      </c>
      <c r="F6" s="91">
        <f t="shared" ref="F6:K6" si="0">E6+1</f>
        <v>2016</v>
      </c>
      <c r="G6" s="91">
        <f t="shared" si="0"/>
        <v>2017</v>
      </c>
      <c r="H6" s="91">
        <f t="shared" si="0"/>
        <v>2018</v>
      </c>
      <c r="I6" s="91">
        <f t="shared" si="0"/>
        <v>2019</v>
      </c>
      <c r="J6" s="91">
        <f t="shared" si="0"/>
        <v>2020</v>
      </c>
      <c r="K6" s="154">
        <f t="shared" si="0"/>
        <v>2021</v>
      </c>
      <c r="L6" s="74" t="str">
        <f>"Cumulative to "&amp;'RFPR cover'!$C$7</f>
        <v>Cumulative to 2020</v>
      </c>
      <c r="M6" s="234" t="s">
        <v>247</v>
      </c>
    </row>
    <row r="7" spans="1:14" s="2" customFormat="1"/>
    <row r="8" spans="1:14">
      <c r="B8" s="390" t="e">
        <f>#REF!</f>
        <v>#REF!</v>
      </c>
      <c r="C8" s="112" t="s">
        <v>297</v>
      </c>
      <c r="D8" s="798">
        <v>0</v>
      </c>
      <c r="E8" s="799">
        <v>0</v>
      </c>
      <c r="F8" s="799">
        <v>0</v>
      </c>
      <c r="G8" s="799">
        <v>0</v>
      </c>
      <c r="H8" s="799">
        <v>0</v>
      </c>
      <c r="I8" s="799">
        <v>0</v>
      </c>
      <c r="J8" s="309">
        <v>0.2065416300000007</v>
      </c>
      <c r="K8" s="310">
        <v>2.8080647975000006</v>
      </c>
      <c r="L8" s="21"/>
      <c r="M8" s="21"/>
    </row>
    <row r="9" spans="1:14">
      <c r="B9" s="6"/>
      <c r="C9" s="112"/>
      <c r="D9" s="187"/>
      <c r="E9" s="187"/>
      <c r="F9" s="187"/>
      <c r="G9" s="187"/>
      <c r="H9" s="187"/>
      <c r="I9" s="187"/>
      <c r="J9" s="187"/>
      <c r="K9" s="187"/>
      <c r="L9" s="21"/>
      <c r="M9" s="21"/>
    </row>
    <row r="10" spans="1:14">
      <c r="B10" s="6" t="s">
        <v>382</v>
      </c>
      <c r="C10" s="8"/>
      <c r="D10" s="188"/>
      <c r="E10" s="188"/>
      <c r="F10" s="188"/>
      <c r="G10" s="188"/>
      <c r="H10" s="188"/>
      <c r="I10" s="188"/>
      <c r="J10" s="188"/>
      <c r="K10" s="188"/>
      <c r="L10" s="21"/>
      <c r="M10" s="21"/>
    </row>
    <row r="11" spans="1:14">
      <c r="B11" s="301" t="e">
        <f>#REF!</f>
        <v>#REF!</v>
      </c>
      <c r="C11" s="112" t="s">
        <v>297</v>
      </c>
      <c r="D11" s="783">
        <v>0</v>
      </c>
      <c r="E11" s="784">
        <v>0</v>
      </c>
      <c r="F11" s="784">
        <v>0</v>
      </c>
      <c r="G11" s="784">
        <v>0</v>
      </c>
      <c r="H11" s="784">
        <v>0</v>
      </c>
      <c r="I11" s="784">
        <v>0</v>
      </c>
      <c r="J11" s="792">
        <v>0</v>
      </c>
      <c r="K11" s="793">
        <v>0</v>
      </c>
      <c r="L11" s="21"/>
      <c r="M11" s="21"/>
    </row>
    <row r="12" spans="1:14">
      <c r="B12" s="301" t="e">
        <f>#REF!</f>
        <v>#REF!</v>
      </c>
      <c r="C12" s="112" t="s">
        <v>297</v>
      </c>
      <c r="D12" s="785">
        <v>0</v>
      </c>
      <c r="E12" s="786">
        <v>0</v>
      </c>
      <c r="F12" s="786">
        <v>0</v>
      </c>
      <c r="G12" s="786">
        <v>0</v>
      </c>
      <c r="H12" s="786">
        <v>0</v>
      </c>
      <c r="I12" s="786">
        <v>0</v>
      </c>
      <c r="J12" s="794">
        <v>0</v>
      </c>
      <c r="K12" s="795">
        <v>0</v>
      </c>
      <c r="L12" s="21"/>
      <c r="M12" s="21"/>
    </row>
    <row r="13" spans="1:14">
      <c r="B13" s="301" t="e">
        <f>#REF!</f>
        <v>#REF!</v>
      </c>
      <c r="C13" s="112" t="s">
        <v>297</v>
      </c>
      <c r="D13" s="785">
        <v>0</v>
      </c>
      <c r="E13" s="786">
        <v>0</v>
      </c>
      <c r="F13" s="786">
        <v>0</v>
      </c>
      <c r="G13" s="786">
        <v>0</v>
      </c>
      <c r="H13" s="786">
        <v>0</v>
      </c>
      <c r="I13" s="786">
        <v>0</v>
      </c>
      <c r="J13" s="794">
        <v>0</v>
      </c>
      <c r="K13" s="795">
        <v>0</v>
      </c>
      <c r="L13" s="21"/>
      <c r="M13" s="21"/>
    </row>
    <row r="14" spans="1:14">
      <c r="B14" s="301" t="e">
        <f>#REF!</f>
        <v>#REF!</v>
      </c>
      <c r="C14" s="112" t="s">
        <v>297</v>
      </c>
      <c r="D14" s="785">
        <v>0</v>
      </c>
      <c r="E14" s="786">
        <v>0</v>
      </c>
      <c r="F14" s="786">
        <v>0</v>
      </c>
      <c r="G14" s="786">
        <v>0</v>
      </c>
      <c r="H14" s="786">
        <v>0</v>
      </c>
      <c r="I14" s="786">
        <v>0</v>
      </c>
      <c r="J14" s="794">
        <v>0</v>
      </c>
      <c r="K14" s="795">
        <v>0</v>
      </c>
      <c r="L14" s="21"/>
      <c r="M14" s="21"/>
    </row>
    <row r="15" spans="1:14">
      <c r="B15" s="301" t="e">
        <f>#REF!</f>
        <v>#REF!</v>
      </c>
      <c r="C15" s="112" t="s">
        <v>297</v>
      </c>
      <c r="D15" s="785">
        <v>0</v>
      </c>
      <c r="E15" s="786">
        <v>0</v>
      </c>
      <c r="F15" s="786">
        <v>0</v>
      </c>
      <c r="G15" s="786">
        <v>0</v>
      </c>
      <c r="H15" s="786">
        <v>0</v>
      </c>
      <c r="I15" s="786">
        <v>0</v>
      </c>
      <c r="J15" s="794">
        <v>0</v>
      </c>
      <c r="K15" s="795">
        <v>0</v>
      </c>
      <c r="L15" s="21"/>
      <c r="M15" s="21"/>
    </row>
    <row r="16" spans="1:14">
      <c r="B16" s="301" t="e">
        <f>#REF!</f>
        <v>#REF!</v>
      </c>
      <c r="C16" s="112" t="s">
        <v>297</v>
      </c>
      <c r="D16" s="785">
        <v>0</v>
      </c>
      <c r="E16" s="786">
        <v>0</v>
      </c>
      <c r="F16" s="786">
        <v>0</v>
      </c>
      <c r="G16" s="786">
        <v>0</v>
      </c>
      <c r="H16" s="786">
        <v>0</v>
      </c>
      <c r="I16" s="786">
        <v>0</v>
      </c>
      <c r="J16" s="794">
        <v>0</v>
      </c>
      <c r="K16" s="795">
        <v>0</v>
      </c>
      <c r="L16" s="21"/>
    </row>
    <row r="17" spans="2:12">
      <c r="B17" s="301" t="e">
        <f>#REF!</f>
        <v>#REF!</v>
      </c>
      <c r="C17" s="112" t="s">
        <v>297</v>
      </c>
      <c r="D17" s="785">
        <v>0</v>
      </c>
      <c r="E17" s="786">
        <v>0</v>
      </c>
      <c r="F17" s="786">
        <v>0</v>
      </c>
      <c r="G17" s="786">
        <v>0</v>
      </c>
      <c r="H17" s="786">
        <v>0</v>
      </c>
      <c r="I17" s="786">
        <v>0</v>
      </c>
      <c r="J17" s="794">
        <v>0</v>
      </c>
      <c r="K17" s="795">
        <v>0</v>
      </c>
      <c r="L17" s="21"/>
    </row>
    <row r="18" spans="2:12" ht="12.75" customHeight="1">
      <c r="B18" s="301" t="e">
        <f>#REF!</f>
        <v>#REF!</v>
      </c>
      <c r="C18" s="112" t="s">
        <v>297</v>
      </c>
      <c r="D18" s="785">
        <v>0</v>
      </c>
      <c r="E18" s="786">
        <v>0</v>
      </c>
      <c r="F18" s="786">
        <v>0</v>
      </c>
      <c r="G18" s="786">
        <v>0</v>
      </c>
      <c r="H18" s="786">
        <v>0</v>
      </c>
      <c r="I18" s="786">
        <v>0</v>
      </c>
      <c r="J18" s="794">
        <v>0</v>
      </c>
      <c r="K18" s="795">
        <v>0</v>
      </c>
      <c r="L18" s="21"/>
    </row>
    <row r="19" spans="2:12">
      <c r="B19" s="301" t="e">
        <f>#REF!</f>
        <v>#REF!</v>
      </c>
      <c r="C19" s="112" t="s">
        <v>297</v>
      </c>
      <c r="D19" s="785">
        <v>0</v>
      </c>
      <c r="E19" s="786">
        <v>0</v>
      </c>
      <c r="F19" s="786">
        <v>0</v>
      </c>
      <c r="G19" s="786">
        <v>0</v>
      </c>
      <c r="H19" s="786">
        <v>0</v>
      </c>
      <c r="I19" s="786">
        <v>0</v>
      </c>
      <c r="J19" s="794">
        <v>0.73341422000000001</v>
      </c>
      <c r="K19" s="795">
        <v>0.73341422000000001</v>
      </c>
      <c r="L19" s="21"/>
    </row>
    <row r="20" spans="2:12">
      <c r="B20" s="301" t="e">
        <f>#REF!</f>
        <v>#REF!</v>
      </c>
      <c r="C20" s="112" t="s">
        <v>297</v>
      </c>
      <c r="D20" s="785">
        <v>0</v>
      </c>
      <c r="E20" s="786">
        <v>0</v>
      </c>
      <c r="F20" s="786">
        <v>0</v>
      </c>
      <c r="G20" s="786">
        <v>0</v>
      </c>
      <c r="H20" s="786">
        <v>0</v>
      </c>
      <c r="I20" s="786">
        <v>0</v>
      </c>
      <c r="J20" s="794">
        <v>-1.35845E-3</v>
      </c>
      <c r="K20" s="795">
        <v>-1.35845E-3</v>
      </c>
      <c r="L20" s="21"/>
    </row>
    <row r="21" spans="2:12">
      <c r="B21" s="301" t="e">
        <f>#REF!</f>
        <v>#REF!</v>
      </c>
      <c r="C21" s="112" t="s">
        <v>297</v>
      </c>
      <c r="D21" s="785">
        <v>0</v>
      </c>
      <c r="E21" s="786">
        <v>0</v>
      </c>
      <c r="F21" s="786">
        <v>0</v>
      </c>
      <c r="G21" s="786">
        <v>0</v>
      </c>
      <c r="H21" s="786">
        <v>0</v>
      </c>
      <c r="I21" s="786">
        <v>0</v>
      </c>
      <c r="J21" s="794">
        <v>3.3400162219443805</v>
      </c>
      <c r="K21" s="795">
        <v>0</v>
      </c>
      <c r="L21" s="21"/>
    </row>
    <row r="22" spans="2:12">
      <c r="B22" s="301" t="e">
        <f>#REF!</f>
        <v>#REF!</v>
      </c>
      <c r="C22" s="112" t="s">
        <v>297</v>
      </c>
      <c r="D22" s="785">
        <v>0</v>
      </c>
      <c r="E22" s="786">
        <v>0</v>
      </c>
      <c r="F22" s="786">
        <v>0</v>
      </c>
      <c r="G22" s="786">
        <v>0</v>
      </c>
      <c r="H22" s="786">
        <v>0</v>
      </c>
      <c r="I22" s="786">
        <v>0</v>
      </c>
      <c r="J22" s="498">
        <v>-2.2860819800000001</v>
      </c>
      <c r="K22" s="948">
        <v>-2.2860819800000001</v>
      </c>
      <c r="L22" s="21"/>
    </row>
    <row r="23" spans="2:12">
      <c r="B23" s="301" t="e">
        <f>#REF!</f>
        <v>#REF!</v>
      </c>
      <c r="C23" s="112" t="s">
        <v>297</v>
      </c>
      <c r="D23" s="785">
        <v>0</v>
      </c>
      <c r="E23" s="786">
        <v>0</v>
      </c>
      <c r="F23" s="786">
        <v>0</v>
      </c>
      <c r="G23" s="786">
        <v>0</v>
      </c>
      <c r="H23" s="786">
        <v>0</v>
      </c>
      <c r="I23" s="786">
        <v>0</v>
      </c>
      <c r="J23" s="498">
        <v>-0.41524007000000002</v>
      </c>
      <c r="K23" s="795">
        <v>0</v>
      </c>
      <c r="L23" s="21"/>
    </row>
    <row r="24" spans="2:12">
      <c r="B24" s="301" t="e">
        <f>#REF!</f>
        <v>#REF!</v>
      </c>
      <c r="C24" s="112" t="s">
        <v>297</v>
      </c>
      <c r="D24" s="785">
        <v>2.8530000000000002</v>
      </c>
      <c r="E24" s="786">
        <v>2.4700000000000002</v>
      </c>
      <c r="F24" s="786">
        <v>2.2999999999999998</v>
      </c>
      <c r="G24" s="786">
        <v>2.5150000000000001</v>
      </c>
      <c r="H24" s="786">
        <v>3.43</v>
      </c>
      <c r="I24" s="786">
        <v>2.1377354855302975</v>
      </c>
      <c r="J24" s="794">
        <v>0</v>
      </c>
      <c r="K24" s="795">
        <v>0</v>
      </c>
      <c r="L24" s="21"/>
    </row>
    <row r="25" spans="2:12">
      <c r="B25" s="301" t="e">
        <f>#REF!</f>
        <v>#REF!</v>
      </c>
      <c r="C25" s="112" t="s">
        <v>297</v>
      </c>
      <c r="D25" s="785">
        <v>0</v>
      </c>
      <c r="E25" s="786">
        <v>0</v>
      </c>
      <c r="F25" s="786">
        <v>0</v>
      </c>
      <c r="G25" s="786">
        <v>0</v>
      </c>
      <c r="H25" s="786">
        <v>0</v>
      </c>
      <c r="I25" s="786">
        <v>0</v>
      </c>
      <c r="J25" s="794">
        <v>0</v>
      </c>
      <c r="K25" s="795">
        <v>0</v>
      </c>
      <c r="L25" s="21"/>
    </row>
    <row r="26" spans="2:12">
      <c r="B26" s="301" t="e">
        <f>#REF!</f>
        <v>#REF!</v>
      </c>
      <c r="C26" s="112" t="s">
        <v>297</v>
      </c>
      <c r="D26" s="785">
        <v>0</v>
      </c>
      <c r="E26" s="786">
        <v>0</v>
      </c>
      <c r="F26" s="786">
        <v>0</v>
      </c>
      <c r="G26" s="786">
        <v>0</v>
      </c>
      <c r="H26" s="786">
        <v>0</v>
      </c>
      <c r="I26" s="786">
        <v>0</v>
      </c>
      <c r="J26" s="794">
        <v>0</v>
      </c>
      <c r="K26" s="795">
        <v>0</v>
      </c>
      <c r="L26" s="21"/>
    </row>
    <row r="27" spans="2:12">
      <c r="B27" s="301" t="e">
        <f>#REF!</f>
        <v>#REF!</v>
      </c>
      <c r="C27" s="112" t="s">
        <v>297</v>
      </c>
      <c r="D27" s="787">
        <v>0</v>
      </c>
      <c r="E27" s="788">
        <v>0</v>
      </c>
      <c r="F27" s="788">
        <v>0</v>
      </c>
      <c r="G27" s="788">
        <v>0</v>
      </c>
      <c r="H27" s="788">
        <v>0</v>
      </c>
      <c r="I27" s="788">
        <v>0</v>
      </c>
      <c r="J27" s="796">
        <v>0</v>
      </c>
      <c r="K27" s="797">
        <v>0</v>
      </c>
      <c r="L27" s="21"/>
    </row>
    <row r="28" spans="2:12">
      <c r="B28" s="956" t="s">
        <v>383</v>
      </c>
      <c r="C28" s="112" t="s">
        <v>297</v>
      </c>
      <c r="D28" s="789">
        <f>SUM(D8,D11:D27)</f>
        <v>2.8530000000000002</v>
      </c>
      <c r="E28" s="790">
        <f t="shared" ref="E28:K28" si="1">SUM(E8,E11:E27)</f>
        <v>2.4700000000000002</v>
      </c>
      <c r="F28" s="790">
        <f t="shared" si="1"/>
        <v>2.2999999999999998</v>
      </c>
      <c r="G28" s="790">
        <f t="shared" si="1"/>
        <v>2.5150000000000001</v>
      </c>
      <c r="H28" s="790">
        <f t="shared" si="1"/>
        <v>3.43</v>
      </c>
      <c r="I28" s="790">
        <f t="shared" si="1"/>
        <v>2.1377354855302975</v>
      </c>
      <c r="J28" s="105">
        <f t="shared" si="1"/>
        <v>1.5772915719443812</v>
      </c>
      <c r="K28" s="106">
        <f t="shared" si="1"/>
        <v>1.2540385875000002</v>
      </c>
      <c r="L28" s="21"/>
    </row>
    <row r="29" spans="2:12">
      <c r="B29" s="302" t="s">
        <v>384</v>
      </c>
      <c r="C29" s="112" t="s">
        <v>297</v>
      </c>
      <c r="D29" s="311"/>
      <c r="E29" s="312"/>
      <c r="F29" s="312"/>
      <c r="G29" s="312"/>
      <c r="H29" s="312"/>
      <c r="I29" s="312"/>
      <c r="J29" s="564"/>
      <c r="K29" s="565">
        <v>0.2004156063856877</v>
      </c>
      <c r="L29" s="21"/>
    </row>
    <row r="30" spans="2:12">
      <c r="B30" s="956" t="s">
        <v>385</v>
      </c>
      <c r="C30" s="112" t="s">
        <v>297</v>
      </c>
      <c r="D30" s="789">
        <f>SUM(D28:D29)</f>
        <v>2.8530000000000002</v>
      </c>
      <c r="E30" s="790">
        <f t="shared" ref="E30:K30" si="2">SUM(E28:E29)</f>
        <v>2.4700000000000002</v>
      </c>
      <c r="F30" s="790">
        <f t="shared" si="2"/>
        <v>2.2999999999999998</v>
      </c>
      <c r="G30" s="790">
        <f t="shared" si="2"/>
        <v>2.5150000000000001</v>
      </c>
      <c r="H30" s="790">
        <f t="shared" si="2"/>
        <v>3.43</v>
      </c>
      <c r="I30" s="790">
        <f t="shared" si="2"/>
        <v>2.1377354855302975</v>
      </c>
      <c r="J30" s="105">
        <f t="shared" si="2"/>
        <v>1.5772915719443812</v>
      </c>
      <c r="K30" s="106">
        <f t="shared" si="2"/>
        <v>1.4544541938856879</v>
      </c>
    </row>
    <row r="31" spans="2:12">
      <c r="B31" s="171" t="s">
        <v>386</v>
      </c>
      <c r="C31" s="112" t="s">
        <v>297</v>
      </c>
      <c r="D31" s="791">
        <f>D30</f>
        <v>2.8530000000000002</v>
      </c>
      <c r="E31" s="791">
        <f t="shared" ref="E31:I31" si="3">E30</f>
        <v>2.4700000000000002</v>
      </c>
      <c r="F31" s="791">
        <f t="shared" si="3"/>
        <v>2.2999999999999998</v>
      </c>
      <c r="G31" s="791">
        <f t="shared" si="3"/>
        <v>2.5150000000000001</v>
      </c>
      <c r="H31" s="791">
        <f t="shared" si="3"/>
        <v>3.43</v>
      </c>
      <c r="I31" s="791">
        <f t="shared" si="3"/>
        <v>2.1377354855302975</v>
      </c>
      <c r="J31" s="484">
        <v>-1.4465276255618997E-2</v>
      </c>
      <c r="K31" s="484">
        <v>0.20041560638568767</v>
      </c>
    </row>
    <row r="32" spans="2:12">
      <c r="B32" s="171" t="s">
        <v>387</v>
      </c>
      <c r="C32" s="112" t="s">
        <v>297</v>
      </c>
      <c r="D32" s="791">
        <v>0</v>
      </c>
      <c r="E32" s="791">
        <v>0</v>
      </c>
      <c r="F32" s="791">
        <v>0</v>
      </c>
      <c r="G32" s="791">
        <v>0</v>
      </c>
      <c r="H32" s="791">
        <v>0</v>
      </c>
      <c r="I32" s="791">
        <v>0</v>
      </c>
      <c r="J32" s="484">
        <v>1.5917568482000002</v>
      </c>
      <c r="K32" s="484">
        <v>1.2540385875000002</v>
      </c>
    </row>
    <row r="33" spans="2:14">
      <c r="B33" s="171"/>
      <c r="D33" s="184" t="str">
        <f>IF(ABS(D30-SUM(D31:D32))&lt;'RFPR cover'!$F$14,"OK","ERROR")</f>
        <v>OK</v>
      </c>
      <c r="E33" s="185" t="str">
        <f>IF(ABS(E30-SUM(E31:E32))&lt;'RFPR cover'!$F$14,"OK","ERROR")</f>
        <v>OK</v>
      </c>
      <c r="F33" s="185" t="str">
        <f>IF(ABS(F30-SUM(F31:F32))&lt;'RFPR cover'!$F$14,"OK","ERROR")</f>
        <v>OK</v>
      </c>
      <c r="G33" s="185" t="str">
        <f>IF(ABS(G30-SUM(G31:G32))&lt;'RFPR cover'!$F$14,"OK","ERROR")</f>
        <v>OK</v>
      </c>
      <c r="H33" s="185" t="str">
        <f>IF(ABS(H30-SUM(H31:H32))&lt;'RFPR cover'!$F$14,"OK","ERROR")</f>
        <v>OK</v>
      </c>
      <c r="I33" s="185" t="str">
        <f>IF(ABS(I30-SUM(I31:I32))&lt;'RFPR cover'!$F$14,"OK","ERROR")</f>
        <v>OK</v>
      </c>
      <c r="J33" s="185" t="str">
        <f>IF(ABS(J30-SUM(J31:J32))&lt;'RFPR cover'!$F$14,"OK","ERROR")</f>
        <v>OK</v>
      </c>
      <c r="K33" s="186" t="str">
        <f>IF(ABS(K30-SUM(K31:K32))&lt;'RFPR cover'!$F$14,"OK","ERROR")</f>
        <v>OK</v>
      </c>
    </row>
    <row r="34" spans="2:14">
      <c r="D34" s="12"/>
      <c r="E34" s="12"/>
      <c r="F34" s="12"/>
      <c r="G34" s="12"/>
      <c r="H34" s="12"/>
      <c r="I34" s="12"/>
      <c r="J34" s="12"/>
      <c r="K34" s="12"/>
    </row>
    <row r="35" spans="2:14">
      <c r="B35" s="171" t="s">
        <v>388</v>
      </c>
      <c r="C35" s="112" t="s">
        <v>297</v>
      </c>
      <c r="D35" s="781">
        <v>0</v>
      </c>
      <c r="E35" s="781">
        <v>0</v>
      </c>
      <c r="F35" s="781">
        <v>0</v>
      </c>
      <c r="G35" s="781">
        <v>0</v>
      </c>
      <c r="H35" s="781">
        <v>0</v>
      </c>
      <c r="I35" s="781">
        <v>0</v>
      </c>
      <c r="J35" s="781">
        <v>0</v>
      </c>
      <c r="K35" s="782">
        <v>0</v>
      </c>
    </row>
    <row r="36" spans="2:14">
      <c r="D36" s="12"/>
      <c r="E36" s="12"/>
      <c r="F36" s="12"/>
      <c r="G36" s="12"/>
      <c r="H36" s="12"/>
      <c r="I36" s="12"/>
      <c r="J36" s="12"/>
      <c r="K36" s="12"/>
    </row>
    <row r="37" spans="2:14">
      <c r="B37" s="171" t="s">
        <v>389</v>
      </c>
      <c r="C37" s="112" t="s">
        <v>297</v>
      </c>
      <c r="D37" s="778">
        <v>0.93321082251966947</v>
      </c>
      <c r="E37" s="778">
        <v>1.3491946784887054</v>
      </c>
      <c r="F37" s="778">
        <v>0.8102393763125052</v>
      </c>
      <c r="G37" s="778">
        <v>1.7558762956139049</v>
      </c>
      <c r="H37" s="778">
        <v>3.413077979712603</v>
      </c>
      <c r="I37" s="778">
        <v>2.9827432328068051</v>
      </c>
      <c r="J37" s="702">
        <v>2.2389985314277028</v>
      </c>
      <c r="K37" s="702">
        <v>1.9126180132218884</v>
      </c>
      <c r="N37" s="270"/>
    </row>
    <row r="38" spans="2:14" s="18" customFormat="1">
      <c r="B38" s="170"/>
      <c r="C38" s="657"/>
      <c r="D38" s="779"/>
      <c r="E38" s="779"/>
      <c r="F38" s="779"/>
      <c r="G38" s="779"/>
      <c r="H38" s="779"/>
      <c r="I38" s="779"/>
      <c r="J38" s="659"/>
      <c r="K38" s="659"/>
      <c r="L38"/>
      <c r="M38"/>
      <c r="N38" s="658"/>
    </row>
    <row r="39" spans="2:14">
      <c r="B39" s="171" t="s">
        <v>390</v>
      </c>
      <c r="C39" s="112" t="s">
        <v>297</v>
      </c>
      <c r="D39" s="780">
        <f>D30-D37</f>
        <v>1.9197891774803306</v>
      </c>
      <c r="E39" s="780">
        <f t="shared" ref="E39:J39" si="4">E30-E37</f>
        <v>1.1208053215112947</v>
      </c>
      <c r="F39" s="780">
        <f t="shared" si="4"/>
        <v>1.4897606236874945</v>
      </c>
      <c r="G39" s="780">
        <f t="shared" si="4"/>
        <v>0.75912370438609522</v>
      </c>
      <c r="H39" s="780">
        <f t="shared" si="4"/>
        <v>1.6922020287397199E-2</v>
      </c>
      <c r="I39" s="780">
        <f t="shared" si="4"/>
        <v>-0.84500774727650763</v>
      </c>
      <c r="J39" s="75">
        <f t="shared" si="4"/>
        <v>-0.66170695948332159</v>
      </c>
      <c r="K39" s="75">
        <f>K30-K37</f>
        <v>-0.45816381933620054</v>
      </c>
    </row>
    <row r="40" spans="2:14">
      <c r="B40" s="171"/>
      <c r="C40" s="112"/>
      <c r="D40" s="112"/>
      <c r="E40" s="112"/>
      <c r="F40" s="112"/>
      <c r="G40" s="112"/>
      <c r="H40" s="112"/>
      <c r="I40" s="112"/>
      <c r="J40" s="112"/>
      <c r="K40" s="112"/>
      <c r="L40" s="112"/>
      <c r="N40" s="270"/>
    </row>
    <row r="41" spans="2:14">
      <c r="B41" s="684" t="s">
        <v>45</v>
      </c>
      <c r="C41" s="112" t="s">
        <v>296</v>
      </c>
      <c r="D41" s="409">
        <f>Data!C34</f>
        <v>1.1666890673736021</v>
      </c>
      <c r="E41" s="409">
        <f>Data!D34</f>
        <v>1.1895563269638081</v>
      </c>
      <c r="F41" s="409">
        <f>Data!E34</f>
        <v>1.2023757108362261</v>
      </c>
      <c r="G41" s="409">
        <f>Data!F34</f>
        <v>1.2281396135646323</v>
      </c>
      <c r="H41" s="409">
        <f>Data!G34</f>
        <v>1.2740965949380583</v>
      </c>
      <c r="I41" s="409">
        <f>Data!H34</f>
        <v>1.3130274787154661</v>
      </c>
      <c r="J41" s="409">
        <f>Data!I34</f>
        <v>1.3470178479563604</v>
      </c>
      <c r="K41" s="409">
        <f>Data!J34</f>
        <v>1.3699171513716184</v>
      </c>
      <c r="L41" s="112"/>
      <c r="N41" s="270"/>
    </row>
    <row r="42" spans="2:14">
      <c r="L42" s="114"/>
      <c r="M42" s="114"/>
      <c r="N42" s="114"/>
    </row>
    <row r="43" spans="2:14">
      <c r="B43" s="668" t="s">
        <v>391</v>
      </c>
      <c r="C43" s="115" t="str">
        <f>'RFPR cover'!$C$14</f>
        <v>£m 09/10</v>
      </c>
      <c r="D43" s="776">
        <f t="shared" ref="D43:J43" si="5">D39/D41</f>
        <v>1.6455019860622107</v>
      </c>
      <c r="E43" s="777">
        <f t="shared" si="5"/>
        <v>0.9422044976819286</v>
      </c>
      <c r="F43" s="777">
        <f t="shared" si="5"/>
        <v>1.2390142367824435</v>
      </c>
      <c r="G43" s="777">
        <f t="shared" si="5"/>
        <v>0.61810863846559372</v>
      </c>
      <c r="H43" s="777">
        <f t="shared" si="5"/>
        <v>1.3281583480112734E-2</v>
      </c>
      <c r="I43" s="777">
        <f t="shared" si="5"/>
        <v>-0.64355678839499852</v>
      </c>
      <c r="J43" s="108">
        <f t="shared" si="5"/>
        <v>-0.49123844980022791</v>
      </c>
      <c r="K43" s="109">
        <f>K39/K41</f>
        <v>-0.33444637062720745</v>
      </c>
      <c r="L43" s="570">
        <f>SUM(D43:INDEX(D43:K43,0,MATCH('RFPR cover'!$C$7,$D$6:$K$6,0)))</f>
        <v>3.3233157042770629</v>
      </c>
      <c r="M43" s="571">
        <f>SUM(D43:K43)</f>
        <v>2.9888693336498555</v>
      </c>
    </row>
    <row r="44" spans="2:14">
      <c r="B44" s="171"/>
      <c r="C44" s="49"/>
      <c r="D44" s="645"/>
      <c r="E44" s="645"/>
      <c r="F44" s="645"/>
      <c r="G44" s="645"/>
      <c r="H44" s="645"/>
      <c r="I44" s="645"/>
      <c r="J44" s="645"/>
      <c r="K44" s="645"/>
      <c r="L44" s="663"/>
      <c r="M44" s="663"/>
    </row>
    <row r="45" spans="2:14">
      <c r="B45" s="668" t="s">
        <v>392</v>
      </c>
      <c r="C45" s="112"/>
      <c r="D45" s="645"/>
      <c r="E45" s="645"/>
      <c r="F45" s="645"/>
      <c r="G45" s="645"/>
      <c r="H45" s="645"/>
      <c r="I45" s="645"/>
      <c r="J45" s="645"/>
      <c r="K45" s="645"/>
      <c r="L45" s="663"/>
      <c r="M45" s="663"/>
    </row>
    <row r="46" spans="2:14">
      <c r="B46" s="301" t="e">
        <f>#REF!</f>
        <v>#REF!</v>
      </c>
      <c r="C46" s="112" t="s">
        <v>297</v>
      </c>
      <c r="D46" s="772">
        <v>0</v>
      </c>
      <c r="E46" s="772">
        <v>0</v>
      </c>
      <c r="F46" s="772">
        <v>0</v>
      </c>
      <c r="G46" s="772">
        <v>0</v>
      </c>
      <c r="H46" s="772">
        <v>0</v>
      </c>
      <c r="I46" s="772">
        <v>0</v>
      </c>
      <c r="J46" s="772">
        <v>0</v>
      </c>
      <c r="K46" s="772">
        <v>0</v>
      </c>
      <c r="L46" s="773">
        <f>SUM(D46:INDEX(D46:K46,0,MATCH('RFPR cover'!$C$7,$D$6:$K$6,0)))</f>
        <v>0</v>
      </c>
      <c r="M46" s="773">
        <f>SUM(D46:K46)</f>
        <v>0</v>
      </c>
    </row>
    <row r="47" spans="2:14">
      <c r="B47" s="301" t="s">
        <v>393</v>
      </c>
      <c r="C47" s="112" t="s">
        <v>297</v>
      </c>
      <c r="D47" s="311"/>
      <c r="E47" s="312"/>
      <c r="F47" s="312"/>
      <c r="G47" s="312"/>
      <c r="H47" s="312"/>
      <c r="I47" s="312"/>
      <c r="J47" s="312"/>
      <c r="K47" s="312">
        <v>0</v>
      </c>
      <c r="L47" s="773">
        <f>SUM(D47:INDEX(D47:K47,0,MATCH('RFPR cover'!$C$7,$D$6:$K$6,0)))</f>
        <v>0</v>
      </c>
      <c r="M47" s="773">
        <f>SUM(D47:K47)</f>
        <v>0</v>
      </c>
    </row>
    <row r="48" spans="2:14">
      <c r="B48" s="301" t="e">
        <f>#REF!</f>
        <v>#REF!</v>
      </c>
      <c r="C48" s="112" t="s">
        <v>297</v>
      </c>
      <c r="D48" s="772">
        <v>0</v>
      </c>
      <c r="E48" s="772">
        <v>0</v>
      </c>
      <c r="F48" s="772">
        <v>0</v>
      </c>
      <c r="G48" s="772">
        <v>0</v>
      </c>
      <c r="H48" s="772">
        <v>0</v>
      </c>
      <c r="I48" s="772">
        <v>0</v>
      </c>
      <c r="J48" s="772">
        <v>0</v>
      </c>
      <c r="K48" s="772">
        <v>0</v>
      </c>
      <c r="L48" s="773">
        <f>SUM(D48:INDEX(D48:K48,0,MATCH('RFPR cover'!$C$7,$D$6:$K$6,0)))</f>
        <v>0</v>
      </c>
      <c r="M48" s="773">
        <f t="shared" ref="M48:M55" si="6">SUM(D48:K48)</f>
        <v>0</v>
      </c>
    </row>
    <row r="49" spans="1:14">
      <c r="B49" s="301" t="e">
        <f>#REF!</f>
        <v>#REF!</v>
      </c>
      <c r="C49" s="112" t="s">
        <v>297</v>
      </c>
      <c r="D49" s="772">
        <v>0</v>
      </c>
      <c r="E49" s="772">
        <v>0</v>
      </c>
      <c r="F49" s="772">
        <v>0</v>
      </c>
      <c r="G49" s="772">
        <v>0</v>
      </c>
      <c r="H49" s="772">
        <v>0</v>
      </c>
      <c r="I49" s="772">
        <v>0</v>
      </c>
      <c r="J49" s="772">
        <v>0</v>
      </c>
      <c r="K49" s="772">
        <v>0</v>
      </c>
      <c r="L49" s="773">
        <f>SUM(D49:INDEX(D49:K49,0,MATCH('RFPR cover'!$C$7,$D$6:$K$6,0)))</f>
        <v>0</v>
      </c>
      <c r="M49" s="773">
        <f t="shared" si="6"/>
        <v>0</v>
      </c>
    </row>
    <row r="50" spans="1:14">
      <c r="B50" s="301" t="e">
        <f>#REF!</f>
        <v>#REF!</v>
      </c>
      <c r="C50" s="112" t="s">
        <v>297</v>
      </c>
      <c r="D50" s="772">
        <v>0</v>
      </c>
      <c r="E50" s="772">
        <v>0</v>
      </c>
      <c r="F50" s="772">
        <v>0</v>
      </c>
      <c r="G50" s="772">
        <v>0</v>
      </c>
      <c r="H50" s="772">
        <v>0</v>
      </c>
      <c r="I50" s="772">
        <v>0</v>
      </c>
      <c r="J50" s="772">
        <v>0</v>
      </c>
      <c r="K50" s="772">
        <v>0</v>
      </c>
      <c r="L50" s="773">
        <f>SUM(D50:INDEX(D50:K50,0,MATCH('RFPR cover'!$C$7,$D$6:$K$6,0)))</f>
        <v>0</v>
      </c>
      <c r="M50" s="773">
        <f t="shared" si="6"/>
        <v>0</v>
      </c>
    </row>
    <row r="51" spans="1:14">
      <c r="B51" s="301" t="e">
        <f>#REF!</f>
        <v>#REF!</v>
      </c>
      <c r="C51" s="112" t="s">
        <v>297</v>
      </c>
      <c r="D51" s="772">
        <v>0</v>
      </c>
      <c r="E51" s="772">
        <v>0</v>
      </c>
      <c r="F51" s="772">
        <v>0</v>
      </c>
      <c r="G51" s="772">
        <v>0</v>
      </c>
      <c r="H51" s="772">
        <v>0</v>
      </c>
      <c r="I51" s="772">
        <v>0</v>
      </c>
      <c r="J51" s="772">
        <v>0</v>
      </c>
      <c r="K51" s="772">
        <v>0</v>
      </c>
      <c r="L51" s="773">
        <f>SUM(D51:INDEX(D51:K51,0,MATCH('RFPR cover'!$C$7,$D$6:$K$6,0)))</f>
        <v>0</v>
      </c>
      <c r="M51" s="773">
        <f t="shared" si="6"/>
        <v>0</v>
      </c>
    </row>
    <row r="52" spans="1:14">
      <c r="B52" s="301" t="e">
        <f>#REF!</f>
        <v>#REF!</v>
      </c>
      <c r="C52" s="112" t="s">
        <v>297</v>
      </c>
      <c r="D52" s="772">
        <v>0</v>
      </c>
      <c r="E52" s="772">
        <v>0</v>
      </c>
      <c r="F52" s="772">
        <v>0</v>
      </c>
      <c r="G52" s="772">
        <v>0</v>
      </c>
      <c r="H52" s="772">
        <v>0</v>
      </c>
      <c r="I52" s="772">
        <v>0</v>
      </c>
      <c r="J52" s="772">
        <v>0</v>
      </c>
      <c r="K52" s="772">
        <v>0</v>
      </c>
      <c r="L52" s="773">
        <f>SUM(D52:INDEX(D52:K52,0,MATCH('RFPR cover'!$C$7,$D$6:$K$6,0)))</f>
        <v>0</v>
      </c>
      <c r="M52" s="773">
        <f t="shared" si="6"/>
        <v>0</v>
      </c>
    </row>
    <row r="53" spans="1:14">
      <c r="B53" s="301" t="e">
        <f>#REF!</f>
        <v>#REF!</v>
      </c>
      <c r="C53" s="112" t="s">
        <v>297</v>
      </c>
      <c r="D53" s="772">
        <v>0</v>
      </c>
      <c r="E53" s="772">
        <v>0</v>
      </c>
      <c r="F53" s="772">
        <v>0</v>
      </c>
      <c r="G53" s="772">
        <v>0</v>
      </c>
      <c r="H53" s="772">
        <v>0</v>
      </c>
      <c r="I53" s="772">
        <v>0</v>
      </c>
      <c r="J53" s="772">
        <v>0</v>
      </c>
      <c r="K53" s="772">
        <v>0</v>
      </c>
      <c r="L53" s="773">
        <f>SUM(D53:INDEX(D53:K53,0,MATCH('RFPR cover'!$C$7,$D$6:$K$6,0)))</f>
        <v>0</v>
      </c>
      <c r="M53" s="773">
        <f t="shared" si="6"/>
        <v>0</v>
      </c>
    </row>
    <row r="54" spans="1:14" s="692" customFormat="1">
      <c r="B54" s="691"/>
      <c r="C54" s="693"/>
      <c r="D54" s="889"/>
      <c r="E54" s="889"/>
      <c r="F54" s="889"/>
      <c r="G54" s="889"/>
      <c r="H54" s="889"/>
      <c r="I54" s="889"/>
      <c r="J54" s="889"/>
      <c r="K54" s="889"/>
      <c r="L54" s="890"/>
      <c r="M54" s="890"/>
    </row>
    <row r="55" spans="1:14">
      <c r="B55" s="688" t="s">
        <v>394</v>
      </c>
      <c r="C55" s="193" t="s">
        <v>297</v>
      </c>
      <c r="D55" s="774">
        <f>SUM(D46:D53)</f>
        <v>0</v>
      </c>
      <c r="E55" s="774">
        <f t="shared" ref="E55:K55" si="7">SUM(E46:E53)</f>
        <v>0</v>
      </c>
      <c r="F55" s="774">
        <f t="shared" si="7"/>
        <v>0</v>
      </c>
      <c r="G55" s="774">
        <f t="shared" si="7"/>
        <v>0</v>
      </c>
      <c r="H55" s="774">
        <f t="shared" si="7"/>
        <v>0</v>
      </c>
      <c r="I55" s="774">
        <f t="shared" si="7"/>
        <v>0</v>
      </c>
      <c r="J55" s="774">
        <f t="shared" si="7"/>
        <v>0</v>
      </c>
      <c r="K55" s="774">
        <f t="shared" si="7"/>
        <v>0</v>
      </c>
      <c r="L55" s="773">
        <f>SUM(D55:INDEX(D55:K55,0,MATCH('RFPR cover'!$C$7,$D$6:$K$6,0)))</f>
        <v>0</v>
      </c>
      <c r="M55" s="775">
        <f t="shared" si="6"/>
        <v>0</v>
      </c>
    </row>
    <row r="56" spans="1:14">
      <c r="B56" s="688" t="s">
        <v>394</v>
      </c>
      <c r="C56" s="115" t="str">
        <f>'RFPR cover'!$C$14</f>
        <v>£m 09/10</v>
      </c>
      <c r="D56" s="774">
        <f>D55/D41</f>
        <v>0</v>
      </c>
      <c r="E56" s="774">
        <f t="shared" ref="E56:K56" si="8">E55/E41</f>
        <v>0</v>
      </c>
      <c r="F56" s="774">
        <f t="shared" si="8"/>
        <v>0</v>
      </c>
      <c r="G56" s="774">
        <f t="shared" si="8"/>
        <v>0</v>
      </c>
      <c r="H56" s="774">
        <f t="shared" si="8"/>
        <v>0</v>
      </c>
      <c r="I56" s="774">
        <f t="shared" si="8"/>
        <v>0</v>
      </c>
      <c r="J56" s="774">
        <f t="shared" si="8"/>
        <v>0</v>
      </c>
      <c r="K56" s="774">
        <f t="shared" si="8"/>
        <v>0</v>
      </c>
      <c r="L56" s="773">
        <f>SUM(D56:INDEX(D56:K56,0,MATCH('RFPR cover'!$C$7,$D$6:$K$6,0)))</f>
        <v>0</v>
      </c>
      <c r="M56" s="775">
        <f>SUM(D56:K56)</f>
        <v>0</v>
      </c>
    </row>
    <row r="57" spans="1:14">
      <c r="B57" s="171"/>
      <c r="C57" s="49"/>
      <c r="D57" s="645"/>
      <c r="E57" s="645"/>
      <c r="F57" s="645"/>
      <c r="G57" s="645"/>
      <c r="H57" s="645"/>
      <c r="I57" s="645"/>
      <c r="J57" s="645"/>
      <c r="K57" s="645"/>
      <c r="L57" s="663"/>
      <c r="M57" s="663"/>
    </row>
    <row r="58" spans="1:14" s="2" customFormat="1">
      <c r="A58" s="1"/>
    </row>
    <row r="59" spans="1:14" s="2" customFormat="1">
      <c r="A59" s="1"/>
      <c r="B59" s="664" t="s">
        <v>395</v>
      </c>
      <c r="C59" s="60"/>
      <c r="D59" s="60"/>
      <c r="E59" s="60"/>
      <c r="F59" s="60"/>
      <c r="G59" s="60"/>
      <c r="H59" s="60"/>
      <c r="I59" s="60"/>
      <c r="J59" s="60"/>
      <c r="K59" s="60"/>
      <c r="L59" s="60"/>
      <c r="M59" s="60"/>
      <c r="N59" s="60"/>
    </row>
    <row r="60" spans="1:14" s="2" customFormat="1">
      <c r="A60" s="1"/>
      <c r="B60" s="300" t="s">
        <v>396</v>
      </c>
    </row>
    <row r="61" spans="1:14" s="2" customFormat="1">
      <c r="A61" s="1"/>
    </row>
    <row r="62" spans="1:14" s="18" customFormat="1">
      <c r="B62" s="171" t="s">
        <v>16</v>
      </c>
      <c r="C62" s="114" t="s">
        <v>250</v>
      </c>
      <c r="D62" s="709">
        <f>'RFPR cover'!$C$12</f>
        <v>0.6</v>
      </c>
      <c r="E62" s="710">
        <f>'RFPR cover'!$C$12</f>
        <v>0.6</v>
      </c>
      <c r="F62" s="710">
        <f>'RFPR cover'!$C$12</f>
        <v>0.6</v>
      </c>
      <c r="G62" s="710">
        <f>'RFPR cover'!$C$12</f>
        <v>0.6</v>
      </c>
      <c r="H62" s="710">
        <f>'RFPR cover'!$C$12</f>
        <v>0.6</v>
      </c>
      <c r="I62" s="710">
        <f>'RFPR cover'!$C$12</f>
        <v>0.6</v>
      </c>
      <c r="J62" s="710">
        <f>'RFPR cover'!$C$12</f>
        <v>0.6</v>
      </c>
      <c r="K62" s="711">
        <f>'RFPR cover'!$C$12</f>
        <v>0.6</v>
      </c>
      <c r="N62" s="658"/>
    </row>
    <row r="63" spans="1:14" s="18" customFormat="1">
      <c r="B63" s="171" t="s">
        <v>397</v>
      </c>
      <c r="C63" s="114" t="s">
        <v>250</v>
      </c>
      <c r="D63" s="710">
        <f>'R8 - Net Debt'!D64</f>
        <v>0.32992372119830399</v>
      </c>
      <c r="E63" s="710">
        <f>'R8 - Net Debt'!E64</f>
        <v>0.58289270137218796</v>
      </c>
      <c r="F63" s="710">
        <f>'R8 - Net Debt'!F64</f>
        <v>0.56655980370496906</v>
      </c>
      <c r="G63" s="710">
        <f>'R8 - Net Debt'!G64</f>
        <v>0.54748860168369962</v>
      </c>
      <c r="H63" s="710">
        <f>'R8 - Net Debt'!H64</f>
        <v>0.53952792451240028</v>
      </c>
      <c r="I63" s="710">
        <f>'R8 - Net Debt'!I64</f>
        <v>0.51361527072526059</v>
      </c>
      <c r="J63" s="710">
        <f>'R8 - Net Debt'!J64</f>
        <v>0.37002397990243763</v>
      </c>
      <c r="K63" s="711">
        <f>'R8 - Net Debt'!K64</f>
        <v>0.4245168988336574</v>
      </c>
      <c r="N63" s="658"/>
    </row>
    <row r="64" spans="1:14" s="18" customFormat="1">
      <c r="B64" s="171"/>
      <c r="C64" s="114"/>
      <c r="D64" s="114"/>
      <c r="E64" s="114"/>
      <c r="F64" s="114"/>
      <c r="G64" s="114"/>
      <c r="H64" s="114"/>
      <c r="I64" s="114"/>
      <c r="J64" s="114"/>
      <c r="K64" s="114"/>
      <c r="N64" s="658"/>
    </row>
    <row r="65" spans="2:15">
      <c r="B65" s="171" t="s">
        <v>391</v>
      </c>
      <c r="C65" s="112" t="s">
        <v>297</v>
      </c>
      <c r="D65" s="800">
        <f>D39</f>
        <v>1.9197891774803306</v>
      </c>
      <c r="E65" s="801">
        <f t="shared" ref="E65:K65" si="9">E39</f>
        <v>1.1208053215112947</v>
      </c>
      <c r="F65" s="801">
        <f t="shared" si="9"/>
        <v>1.4897606236874945</v>
      </c>
      <c r="G65" s="801">
        <f t="shared" si="9"/>
        <v>0.75912370438609522</v>
      </c>
      <c r="H65" s="801">
        <f t="shared" si="9"/>
        <v>1.6922020287397199E-2</v>
      </c>
      <c r="I65" s="801">
        <f t="shared" si="9"/>
        <v>-0.84500774727650763</v>
      </c>
      <c r="J65" s="69">
        <f t="shared" si="9"/>
        <v>-0.66170695948332159</v>
      </c>
      <c r="K65" s="70">
        <f t="shared" si="9"/>
        <v>-0.45816381933620054</v>
      </c>
      <c r="L65" s="18"/>
      <c r="M65" s="18"/>
    </row>
    <row r="66" spans="2:15" s="18" customFormat="1">
      <c r="B66" s="171" t="s">
        <v>398</v>
      </c>
      <c r="C66" s="112" t="s">
        <v>297</v>
      </c>
      <c r="D66" s="815">
        <f>((D62-D63)/D63)*D65</f>
        <v>1.5715436139434578</v>
      </c>
      <c r="E66" s="68">
        <f t="shared" ref="E66:K66" si="10">((E62-E63)/E63)*E65</f>
        <v>3.2894478338118101E-2</v>
      </c>
      <c r="F66" s="68">
        <f t="shared" si="10"/>
        <v>8.793050153388525E-2</v>
      </c>
      <c r="G66" s="68">
        <f t="shared" si="10"/>
        <v>7.2810003879119151E-2</v>
      </c>
      <c r="H66" s="68">
        <f t="shared" si="10"/>
        <v>1.8966760416469558E-3</v>
      </c>
      <c r="I66" s="68">
        <f t="shared" si="10"/>
        <v>-0.14212148595282884</v>
      </c>
      <c r="J66" s="68">
        <f>((J62-J63)/J63)*J65</f>
        <v>-0.41126181349910601</v>
      </c>
      <c r="K66" s="68">
        <f t="shared" si="10"/>
        <v>-0.18939177234222729</v>
      </c>
      <c r="N66" s="658"/>
    </row>
    <row r="67" spans="2:15">
      <c r="B67" s="171" t="s">
        <v>399</v>
      </c>
      <c r="C67" s="112" t="s">
        <v>297</v>
      </c>
      <c r="D67" s="75">
        <f>SUM(D65:D66)</f>
        <v>3.4913327914237886</v>
      </c>
      <c r="E67" s="76">
        <f t="shared" ref="E67:K67" si="11">SUM(E65:E66)</f>
        <v>1.153699799849413</v>
      </c>
      <c r="F67" s="76">
        <f t="shared" si="11"/>
        <v>1.5776911252213797</v>
      </c>
      <c r="G67" s="76">
        <f t="shared" si="11"/>
        <v>0.8319337082652144</v>
      </c>
      <c r="H67" s="76">
        <f t="shared" si="11"/>
        <v>1.8818696329044156E-2</v>
      </c>
      <c r="I67" s="76">
        <f t="shared" si="11"/>
        <v>-0.98712923322933643</v>
      </c>
      <c r="J67" s="76">
        <f>SUM(J65:J66)</f>
        <v>-1.0729687729824275</v>
      </c>
      <c r="K67" s="77">
        <f t="shared" si="11"/>
        <v>-0.6475555916784278</v>
      </c>
      <c r="L67" s="18"/>
      <c r="M67" s="18"/>
    </row>
    <row r="68" spans="2:15">
      <c r="B68" s="171"/>
      <c r="C68" s="112"/>
      <c r="D68" s="112"/>
      <c r="E68" s="112"/>
      <c r="F68" s="112"/>
      <c r="G68" s="112"/>
      <c r="H68" s="112"/>
      <c r="I68" s="112"/>
      <c r="J68" s="112"/>
      <c r="K68" s="112"/>
      <c r="L68" s="112"/>
      <c r="M68" s="112"/>
      <c r="N68" s="112"/>
      <c r="O68" s="112"/>
    </row>
    <row r="69" spans="2:15">
      <c r="B69" s="668" t="s">
        <v>399</v>
      </c>
      <c r="C69" s="115" t="str">
        <f>'RFPR cover'!$C$14</f>
        <v>£m 09/10</v>
      </c>
      <c r="D69" s="774">
        <f>D67/D41</f>
        <v>2.9925135060049204</v>
      </c>
      <c r="E69" s="108">
        <f t="shared" ref="E69:K69" si="12">E67/E41</f>
        <v>0.96985722634428384</v>
      </c>
      <c r="F69" s="108">
        <f t="shared" si="12"/>
        <v>1.3121448736885495</v>
      </c>
      <c r="G69" s="108">
        <f t="shared" si="12"/>
        <v>0.67739343237252636</v>
      </c>
      <c r="H69" s="108">
        <f t="shared" si="12"/>
        <v>1.4770227315425051E-2</v>
      </c>
      <c r="I69" s="108">
        <f t="shared" si="12"/>
        <v>-0.75179632508151639</v>
      </c>
      <c r="J69" s="108">
        <f>J67/J41</f>
        <v>-0.7965512666445298</v>
      </c>
      <c r="K69" s="109">
        <f t="shared" si="12"/>
        <v>-0.47269690070678216</v>
      </c>
      <c r="L69" s="570">
        <f>SUM(D69:INDEX(D69:K69,0,MATCH('RFPR cover'!$C$7,$D$6:$K$6,0)))</f>
        <v>4.4183316739996599</v>
      </c>
      <c r="M69" s="571">
        <f>SUM(D69:K69)</f>
        <v>3.9456347732928778</v>
      </c>
    </row>
    <row r="70" spans="2:15">
      <c r="B70" s="303" t="s">
        <v>400</v>
      </c>
      <c r="C70" s="118" t="str">
        <f>'RFPR cover'!$C$14</f>
        <v>£m 09/10</v>
      </c>
      <c r="D70" s="68">
        <f>D56*((D62-D63)/D63)+D56</f>
        <v>0</v>
      </c>
      <c r="E70" s="68">
        <f t="shared" ref="E70:K70" si="13">E56*((E62-E63)/E63)+E56</f>
        <v>0</v>
      </c>
      <c r="F70" s="68">
        <f t="shared" si="13"/>
        <v>0</v>
      </c>
      <c r="G70" s="68">
        <f t="shared" si="13"/>
        <v>0</v>
      </c>
      <c r="H70" s="68">
        <f t="shared" si="13"/>
        <v>0</v>
      </c>
      <c r="I70" s="68">
        <f t="shared" si="13"/>
        <v>0</v>
      </c>
      <c r="J70" s="800">
        <f t="shared" si="13"/>
        <v>0</v>
      </c>
      <c r="K70" s="800">
        <f t="shared" si="13"/>
        <v>0</v>
      </c>
      <c r="L70" s="566">
        <f>SUM(D70:INDEX(D70:K70,0,MATCH('RFPR cover'!$C$7,$D$6:$K$6,0)))</f>
        <v>0</v>
      </c>
      <c r="M70" s="567">
        <f>SUM(D70:K70)</f>
        <v>0</v>
      </c>
      <c r="N70" s="114"/>
    </row>
    <row r="72" spans="2:15">
      <c r="B72" s="660" t="s">
        <v>401</v>
      </c>
      <c r="C72" s="661"/>
      <c r="D72" s="661"/>
      <c r="E72" s="661"/>
      <c r="F72" s="661"/>
      <c r="G72" s="661"/>
      <c r="H72" s="661"/>
      <c r="I72" s="661"/>
      <c r="J72" s="661"/>
      <c r="K72" s="661"/>
      <c r="L72" s="661"/>
      <c r="M72" s="661"/>
      <c r="N72" s="661"/>
      <c r="O72" s="114"/>
    </row>
    <row r="73" spans="2:15" s="18" customFormat="1">
      <c r="B73" s="662"/>
      <c r="C73" s="49"/>
      <c r="D73" s="49"/>
      <c r="E73" s="49"/>
      <c r="F73" s="49"/>
      <c r="G73" s="49"/>
      <c r="H73" s="49"/>
      <c r="I73" s="49"/>
      <c r="J73" s="49"/>
      <c r="K73" s="49"/>
      <c r="L73" s="49"/>
      <c r="M73" s="49"/>
      <c r="N73" s="49"/>
      <c r="O73" s="49"/>
    </row>
    <row r="74" spans="2:15">
      <c r="B74" s="300" t="s">
        <v>402</v>
      </c>
      <c r="C74" s="299"/>
      <c r="D74" s="299"/>
      <c r="E74" s="299"/>
      <c r="F74" s="299"/>
      <c r="G74" s="299"/>
      <c r="H74" s="299"/>
      <c r="I74" s="299"/>
      <c r="J74" s="299"/>
      <c r="K74" s="299"/>
      <c r="L74" s="299"/>
      <c r="M74" s="299"/>
      <c r="N74" s="299"/>
      <c r="O74" s="114"/>
    </row>
    <row r="75" spans="2:15">
      <c r="B75" s="300" t="s">
        <v>403</v>
      </c>
      <c r="C75" s="299"/>
      <c r="D75" s="299"/>
      <c r="E75" s="299"/>
      <c r="F75" s="299"/>
      <c r="G75" s="299"/>
      <c r="H75" s="299"/>
      <c r="I75" s="299"/>
      <c r="J75" s="299"/>
      <c r="K75" s="299"/>
      <c r="L75" s="299"/>
      <c r="M75" s="299"/>
      <c r="N75" s="299"/>
      <c r="O75" s="114"/>
    </row>
    <row r="76" spans="2:15">
      <c r="B76" s="300" t="s">
        <v>404</v>
      </c>
      <c r="C76" s="299"/>
      <c r="D76" s="299"/>
      <c r="E76" s="299"/>
      <c r="F76" s="299"/>
      <c r="G76" s="299"/>
      <c r="H76" s="299"/>
      <c r="I76" s="299"/>
      <c r="J76" s="299"/>
      <c r="K76" s="299"/>
      <c r="L76" s="299"/>
      <c r="M76" s="299"/>
      <c r="N76" s="299"/>
      <c r="O76" s="114"/>
    </row>
    <row r="77" spans="2:15">
      <c r="B77" s="300" t="s">
        <v>405</v>
      </c>
      <c r="C77" s="299"/>
      <c r="D77" s="299"/>
      <c r="E77" s="299"/>
      <c r="F77" s="299"/>
      <c r="G77" s="299"/>
      <c r="H77" s="299"/>
      <c r="I77" s="299"/>
      <c r="J77" s="299"/>
      <c r="K77" s="299"/>
      <c r="L77" s="299"/>
      <c r="M77" s="299"/>
      <c r="N77" s="299"/>
      <c r="O77" s="114"/>
    </row>
    <row r="78" spans="2:15" s="18" customFormat="1">
      <c r="B78" s="304"/>
      <c r="C78" s="304"/>
      <c r="D78" s="304"/>
      <c r="E78" s="304"/>
      <c r="F78" s="304"/>
      <c r="G78" s="304"/>
      <c r="H78" s="304"/>
      <c r="I78" s="304"/>
      <c r="J78" s="304"/>
      <c r="K78" s="304"/>
      <c r="L78" s="304"/>
      <c r="M78" s="304"/>
      <c r="N78" s="304"/>
      <c r="O78" s="49"/>
    </row>
    <row r="79" spans="2:15">
      <c r="B79" s="303" t="s">
        <v>406</v>
      </c>
      <c r="C79" s="114" t="str">
        <f>'RFPR cover'!$C$14</f>
        <v>£m 09/10</v>
      </c>
      <c r="D79" s="771">
        <v>1.4445061486812585</v>
      </c>
      <c r="E79" s="771">
        <v>1.6127162157908965</v>
      </c>
      <c r="F79" s="771">
        <v>1.6839285853196426</v>
      </c>
      <c r="G79" s="771">
        <v>1.7198909619153515</v>
      </c>
      <c r="H79" s="771">
        <v>1.7398394928909957</v>
      </c>
      <c r="I79" s="771">
        <v>1.6309292725951894</v>
      </c>
      <c r="J79" s="495">
        <v>1.4280110538849371</v>
      </c>
      <c r="K79" s="495">
        <v>0.99793184540454749</v>
      </c>
      <c r="L79" s="717"/>
      <c r="M79" s="717"/>
      <c r="O79" s="49"/>
    </row>
    <row r="80" spans="2:15">
      <c r="B80" s="303" t="s">
        <v>407</v>
      </c>
      <c r="C80" s="114" t="str">
        <f>'RFPR cover'!$C$14</f>
        <v>£m 09/10</v>
      </c>
      <c r="D80" s="568">
        <f>'R9 - RAV'!D49</f>
        <v>1.4322330828492358</v>
      </c>
      <c r="E80" s="569">
        <f>'R9 - RAV'!E49</f>
        <v>1.5849612493309351</v>
      </c>
      <c r="F80" s="569">
        <f>'R9 - RAV'!F49</f>
        <v>1.6516662811535039</v>
      </c>
      <c r="G80" s="569">
        <f>'R9 - RAV'!G49</f>
        <v>1.6979493662048737</v>
      </c>
      <c r="H80" s="569">
        <f>'R9 - RAV'!H49</f>
        <v>1.7325476963333073</v>
      </c>
      <c r="I80" s="569">
        <f>'R9 - RAV'!I49</f>
        <v>1.6275631244225874</v>
      </c>
      <c r="J80" s="569">
        <f>'R9 - RAV'!J49</f>
        <v>1.4459496806279752</v>
      </c>
      <c r="K80" s="718">
        <f>'R9 - RAV'!K49</f>
        <v>1.0399762440478713</v>
      </c>
      <c r="L80" s="939">
        <f>SUM(D80:INDEX(D80:K80,0,MATCH('RFPR cover'!$C$7,$D$6:$K$6,0)))</f>
        <v>11.17287048092242</v>
      </c>
      <c r="M80" s="939">
        <f>SUM(D80:K80)</f>
        <v>12.212846724970291</v>
      </c>
      <c r="O80" s="49"/>
    </row>
    <row r="81" spans="2:15" s="18" customFormat="1">
      <c r="B81" s="665"/>
      <c r="C81" s="49"/>
      <c r="D81" s="666"/>
      <c r="E81" s="666"/>
      <c r="F81" s="666"/>
      <c r="G81" s="666"/>
      <c r="H81" s="666"/>
      <c r="I81" s="666"/>
      <c r="J81" s="666"/>
      <c r="K81" s="666"/>
      <c r="L81" s="663"/>
      <c r="M81" s="663"/>
      <c r="O81" s="49"/>
    </row>
    <row r="82" spans="2:15" s="18" customFormat="1">
      <c r="B82" s="665"/>
      <c r="C82" s="49"/>
      <c r="D82" s="666"/>
      <c r="E82" s="667"/>
      <c r="F82" s="667"/>
      <c r="G82" s="667"/>
      <c r="H82" s="667"/>
      <c r="I82" s="667"/>
      <c r="J82" s="667"/>
      <c r="K82" s="667"/>
      <c r="L82" s="663"/>
      <c r="M82" s="663"/>
      <c r="O82" s="49"/>
    </row>
    <row r="83" spans="2:15">
      <c r="B83" s="669" t="s">
        <v>408</v>
      </c>
      <c r="C83" s="661"/>
      <c r="D83" s="661"/>
      <c r="E83" s="661"/>
      <c r="F83" s="661"/>
      <c r="G83" s="661"/>
      <c r="H83" s="661"/>
      <c r="I83" s="661"/>
      <c r="J83" s="661"/>
      <c r="K83" s="661"/>
      <c r="L83" s="661"/>
      <c r="M83" s="661"/>
      <c r="N83" s="661"/>
    </row>
    <row r="84" spans="2:15">
      <c r="B84" s="303"/>
      <c r="C84" s="114"/>
      <c r="D84" s="114"/>
      <c r="E84" s="114"/>
      <c r="F84" s="114"/>
      <c r="G84" s="114"/>
      <c r="H84" s="114"/>
      <c r="I84" s="114"/>
      <c r="J84" s="114"/>
      <c r="K84" s="114"/>
      <c r="L84" s="114"/>
      <c r="M84" s="114"/>
      <c r="N84" s="114"/>
    </row>
    <row r="85" spans="2:15">
      <c r="B85" s="685" t="s">
        <v>409</v>
      </c>
      <c r="C85" s="114"/>
      <c r="D85" s="114"/>
      <c r="E85" s="114"/>
      <c r="F85" s="114"/>
      <c r="G85" s="114"/>
      <c r="H85" s="114"/>
      <c r="I85" s="114"/>
      <c r="J85" s="114"/>
      <c r="K85" s="114"/>
      <c r="L85" s="114"/>
      <c r="M85" s="114"/>
      <c r="N85" s="114"/>
    </row>
    <row r="86" spans="2:15">
      <c r="B86" s="171" t="s">
        <v>410</v>
      </c>
      <c r="C86" s="114" t="str">
        <f>'RFPR cover'!$C$14</f>
        <v>£m 09/10</v>
      </c>
      <c r="D86" s="107">
        <f>D80-D43-D56</f>
        <v>-0.21326890321297487</v>
      </c>
      <c r="E86" s="107">
        <f t="shared" ref="E86:K86" si="14">E80-E43-E56</f>
        <v>0.64275675164900647</v>
      </c>
      <c r="F86" s="107">
        <f t="shared" si="14"/>
        <v>0.4126520443710604</v>
      </c>
      <c r="G86" s="107">
        <f t="shared" si="14"/>
        <v>1.0798407277392799</v>
      </c>
      <c r="H86" s="107">
        <f t="shared" si="14"/>
        <v>1.7192661128531945</v>
      </c>
      <c r="I86" s="107">
        <f t="shared" si="14"/>
        <v>2.2711199128175861</v>
      </c>
      <c r="J86" s="107">
        <f t="shared" si="14"/>
        <v>1.9371881304282033</v>
      </c>
      <c r="K86" s="107">
        <f t="shared" si="14"/>
        <v>1.3744226146750786</v>
      </c>
      <c r="L86" s="570">
        <f>SUM(D86:INDEX(D86:K86,0,MATCH('RFPR cover'!$C$7,$D$6:$K$6,0)))</f>
        <v>7.8495547766453564</v>
      </c>
      <c r="M86" s="571">
        <f>SUM(D86:K86)</f>
        <v>9.2239773913204353</v>
      </c>
    </row>
    <row r="87" spans="2:15">
      <c r="B87" s="171"/>
    </row>
    <row r="88" spans="2:15">
      <c r="B88" s="171" t="s">
        <v>411</v>
      </c>
      <c r="C88" s="114" t="str">
        <f>'RFPR cover'!$C$14</f>
        <v>£m 09/10</v>
      </c>
      <c r="D88" s="107">
        <f>D80-D69-D70</f>
        <v>-1.5602804231556846</v>
      </c>
      <c r="E88" s="107">
        <f t="shared" ref="E88:K88" si="15">E80-E69-E70</f>
        <v>0.61510402298665123</v>
      </c>
      <c r="F88" s="107">
        <f t="shared" si="15"/>
        <v>0.33952140746495441</v>
      </c>
      <c r="G88" s="107">
        <f t="shared" si="15"/>
        <v>1.0205559338323473</v>
      </c>
      <c r="H88" s="107">
        <f t="shared" si="15"/>
        <v>1.7177774690178822</v>
      </c>
      <c r="I88" s="107">
        <f t="shared" si="15"/>
        <v>2.3793594495041037</v>
      </c>
      <c r="J88" s="107">
        <f t="shared" si="15"/>
        <v>2.242500947272505</v>
      </c>
      <c r="K88" s="107">
        <f t="shared" si="15"/>
        <v>1.5126731447546535</v>
      </c>
      <c r="L88" s="570">
        <f>SUM(D88:INDEX(D88:K88,0,MATCH('RFPR cover'!$C$7,$D$6:$K$6,0)))</f>
        <v>6.7545388069227599</v>
      </c>
      <c r="M88" s="571">
        <f>SUM(D88:K88)</f>
        <v>8.2672119516774139</v>
      </c>
    </row>
    <row r="89" spans="2:15">
      <c r="B89" s="171"/>
    </row>
    <row r="90" spans="2:15">
      <c r="B90" s="171" t="s">
        <v>412</v>
      </c>
      <c r="C90" s="114" t="str">
        <f>'RFPR cover'!$C$14</f>
        <v>£m 09/10</v>
      </c>
      <c r="D90" s="107">
        <f t="shared" ref="D90:K90" si="16">D86-D88</f>
        <v>1.3470115199427097</v>
      </c>
      <c r="E90" s="107">
        <f t="shared" si="16"/>
        <v>2.7652728662355242E-2</v>
      </c>
      <c r="F90" s="107">
        <f t="shared" si="16"/>
        <v>7.3130636906105995E-2</v>
      </c>
      <c r="G90" s="107">
        <f t="shared" si="16"/>
        <v>5.9284793906932531E-2</v>
      </c>
      <c r="H90" s="107">
        <f t="shared" si="16"/>
        <v>1.488643835312331E-3</v>
      </c>
      <c r="I90" s="107">
        <f t="shared" si="16"/>
        <v>-0.10823953668651765</v>
      </c>
      <c r="J90" s="107">
        <f t="shared" si="16"/>
        <v>-0.30531281684430178</v>
      </c>
      <c r="K90" s="107">
        <f t="shared" si="16"/>
        <v>-0.13825053007957488</v>
      </c>
      <c r="L90" s="570">
        <f>SUM(D90:INDEX(D90:K90,0,MATCH('RFPR cover'!$C$7,$D$6:$K$6,0)))</f>
        <v>1.0950159697225965</v>
      </c>
      <c r="M90" s="571">
        <f>SUM(D90:K90)</f>
        <v>0.95676543964302163</v>
      </c>
    </row>
    <row r="91" spans="2:15">
      <c r="B91" s="158"/>
    </row>
  </sheetData>
  <sheetProtection algorithmName="SHA-512" hashValue="59tEfp50K5BvxtRKfbgIhESyuUDZW3U/fcosl9VtoKMzRMYnNKqdjjo9uZlxRgFSV2sFw/tt4T2lkBcnc9TXTQ==" saltValue="SQZUYSjkVXutR2g0I98/rw==" spinCount="100000" sheet="1" formatCells="0" formatColumns="0" formatRows="0" insertColumns="0" insertRows="0" insertHyperlinks="0" deleteColumns="0" deleteRows="0" sort="0" autoFilter="0" pivotTables="0"/>
  <conditionalFormatting sqref="D6:K6">
    <cfRule type="expression" dxfId="51" priority="25">
      <formula>AND(D$5="Actuals",E$5="Forecast")</formula>
    </cfRule>
  </conditionalFormatting>
  <conditionalFormatting sqref="D5:K5">
    <cfRule type="expression" dxfId="50" priority="18">
      <formula>AND(D$5="Actuals",E$5="Forecast")</formula>
    </cfRule>
  </conditionalFormatting>
  <conditionalFormatting sqref="D29:G29 I29:K29">
    <cfRule type="expression" dxfId="49" priority="16">
      <formula>D$5="Forecast"</formula>
    </cfRule>
    <cfRule type="expression" dxfId="48" priority="17">
      <formula>D$5="Actuals"</formula>
    </cfRule>
  </conditionalFormatting>
  <conditionalFormatting sqref="D47:G47">
    <cfRule type="expression" dxfId="47" priority="10">
      <formula>D$5="Forecast"</formula>
    </cfRule>
    <cfRule type="expression" dxfId="46" priority="11">
      <formula>D$5="Actuals"</formula>
    </cfRule>
  </conditionalFormatting>
  <conditionalFormatting sqref="I47:K47">
    <cfRule type="expression" dxfId="45" priority="8">
      <formula>I$5="Forecast"</formula>
    </cfRule>
    <cfRule type="expression" dxfId="44" priority="9">
      <formula>I$5="Actuals"</formula>
    </cfRule>
  </conditionalFormatting>
  <conditionalFormatting sqref="H47">
    <cfRule type="expression" dxfId="43" priority="6">
      <formula>H$5="Forecast"</formula>
    </cfRule>
    <cfRule type="expression" dxfId="42" priority="7">
      <formula>H$5="Actuals"</formula>
    </cfRule>
  </conditionalFormatting>
  <conditionalFormatting sqref="H29">
    <cfRule type="expression" dxfId="41" priority="4">
      <formula>H$5="Forecast"</formula>
    </cfRule>
    <cfRule type="expression" dxfId="40" priority="5">
      <formula>H$5="Actuals"</formula>
    </cfRule>
  </conditionalFormatting>
  <conditionalFormatting sqref="J22">
    <cfRule type="expression" dxfId="39" priority="2">
      <formula>J$5="Forecast"</formula>
    </cfRule>
  </conditionalFormatting>
  <conditionalFormatting sqref="J23">
    <cfRule type="expression" dxfId="38" priority="1">
      <formula>J$5="Forecast"</formula>
    </cfRule>
  </conditionalFormatting>
  <pageMargins left="0.70866141732283472" right="0.70866141732283472" top="0.74803149606299213" bottom="0.74803149606299213" header="0.31496062992125984" footer="0.31496062992125984"/>
  <pageSetup paperSize="8" scale="61" orientation="landscape" r:id="rId1"/>
  <customProperties>
    <customPr name="EpmWorksheetKeyString_GU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5"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topLeftCell="C1" zoomScale="80" zoomScaleNormal="80" workbookViewId="0">
      <pane ySplit="6" topLeftCell="A31" activePane="bottomLeft" state="frozen"/>
      <selection activeCell="B3" sqref="B3"/>
      <selection pane="bottomLeft" activeCell="D65" sqref="D65"/>
    </sheetView>
  </sheetViews>
  <sheetFormatPr defaultRowHeight="12.75"/>
  <cols>
    <col min="1" max="1" width="8.375" customWidth="1"/>
    <col min="2" max="2" width="85.75" bestFit="1" customWidth="1"/>
    <col min="3" max="3" width="14.125" customWidth="1"/>
    <col min="4" max="11" width="11.125" customWidth="1"/>
    <col min="12" max="12" width="18.5" customWidth="1"/>
    <col min="13" max="13" width="19.625" bestFit="1" customWidth="1"/>
  </cols>
  <sheetData>
    <row r="1" spans="1:13" s="18" customFormat="1" ht="20.25">
      <c r="A1" s="856" t="s">
        <v>205</v>
      </c>
      <c r="B1" s="732"/>
      <c r="C1" s="211"/>
      <c r="D1" s="211"/>
      <c r="E1" s="211"/>
      <c r="F1" s="211"/>
      <c r="G1" s="211"/>
      <c r="H1" s="211"/>
      <c r="I1" s="212"/>
      <c r="J1" s="212"/>
      <c r="K1" s="213"/>
      <c r="L1" s="876"/>
    </row>
    <row r="2" spans="1:13" s="18" customFormat="1" ht="20.25">
      <c r="A2" s="725" t="str">
        <f>'RFPR cover'!C5</f>
        <v>NGET (SO)</v>
      </c>
      <c r="B2" s="720"/>
      <c r="C2" s="16"/>
      <c r="D2" s="16"/>
      <c r="E2" s="16"/>
      <c r="F2" s="16"/>
      <c r="G2" s="16"/>
      <c r="H2" s="16"/>
      <c r="I2" s="15"/>
      <c r="J2" s="15"/>
      <c r="K2" s="15"/>
      <c r="L2" s="93"/>
    </row>
    <row r="3" spans="1:13" s="18" customFormat="1" ht="23.25">
      <c r="A3" s="728">
        <f>'RFPR cover'!C7</f>
        <v>2020</v>
      </c>
      <c r="B3" s="734" t="str">
        <f>'R1 - RoRE'!B3</f>
        <v>Not required to be completed for System Operator</v>
      </c>
      <c r="C3" s="214"/>
      <c r="D3" s="214"/>
      <c r="E3" s="214"/>
      <c r="F3" s="214"/>
      <c r="G3" s="214"/>
      <c r="H3" s="214"/>
      <c r="I3" s="210"/>
      <c r="J3" s="210"/>
      <c r="K3" s="210"/>
      <c r="L3" s="215"/>
    </row>
    <row r="4" spans="1:13" s="18" customFormat="1" ht="12.75" customHeight="1">
      <c r="A4" s="25"/>
      <c r="B4" s="25"/>
      <c r="C4" s="25"/>
      <c r="D4" s="25"/>
      <c r="E4" s="25"/>
      <c r="F4" s="25"/>
      <c r="G4" s="25"/>
      <c r="H4" s="25"/>
      <c r="I4" s="888"/>
      <c r="J4" s="888"/>
      <c r="K4" s="888"/>
      <c r="L4" s="20"/>
    </row>
    <row r="5" spans="1:13" s="2" customFormat="1">
      <c r="B5" s="3"/>
      <c r="C5" s="3"/>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row>
    <row r="6" spans="1:13" s="2" customFormat="1">
      <c r="D6" s="90">
        <f>'RFPR cover'!$C$13</f>
        <v>2014</v>
      </c>
      <c r="E6" s="91">
        <f>D6+1</f>
        <v>2015</v>
      </c>
      <c r="F6" s="91">
        <f t="shared" ref="F6:K6" si="0">E6+1</f>
        <v>2016</v>
      </c>
      <c r="G6" s="91">
        <f t="shared" si="0"/>
        <v>2017</v>
      </c>
      <c r="H6" s="91">
        <f t="shared" si="0"/>
        <v>2018</v>
      </c>
      <c r="I6" s="91">
        <f t="shared" si="0"/>
        <v>2019</v>
      </c>
      <c r="J6" s="91">
        <f t="shared" si="0"/>
        <v>2020</v>
      </c>
      <c r="K6" s="154">
        <f t="shared" si="0"/>
        <v>2021</v>
      </c>
    </row>
    <row r="7" spans="1:13" s="2" customFormat="1"/>
    <row r="8" spans="1:13" s="2" customFormat="1">
      <c r="B8" s="171" t="s">
        <v>416</v>
      </c>
      <c r="C8" s="112" t="s">
        <v>297</v>
      </c>
      <c r="D8" s="940">
        <v>0</v>
      </c>
      <c r="E8" s="802">
        <f>D10</f>
        <v>0</v>
      </c>
      <c r="F8" s="802">
        <f t="shared" ref="F8:K8" si="1">E10</f>
        <v>0</v>
      </c>
      <c r="G8" s="802">
        <f t="shared" si="1"/>
        <v>0</v>
      </c>
      <c r="H8" s="802">
        <f t="shared" si="1"/>
        <v>0</v>
      </c>
      <c r="I8" s="802">
        <f t="shared" si="1"/>
        <v>0</v>
      </c>
      <c r="J8" s="802">
        <f t="shared" si="1"/>
        <v>0</v>
      </c>
      <c r="K8" s="102">
        <f t="shared" si="1"/>
        <v>-18.577000000000002</v>
      </c>
    </row>
    <row r="9" spans="1:13" s="2" customFormat="1">
      <c r="B9" s="171"/>
      <c r="D9" s="803"/>
      <c r="E9" s="803"/>
      <c r="F9" s="803"/>
      <c r="G9" s="803"/>
      <c r="H9" s="803"/>
      <c r="I9" s="803"/>
      <c r="J9" s="803"/>
      <c r="K9" s="803"/>
    </row>
    <row r="10" spans="1:13">
      <c r="B10" s="171" t="s">
        <v>417</v>
      </c>
      <c r="C10" s="112" t="s">
        <v>297</v>
      </c>
      <c r="D10" s="804">
        <v>0</v>
      </c>
      <c r="E10" s="805">
        <v>0</v>
      </c>
      <c r="F10" s="805">
        <v>0</v>
      </c>
      <c r="G10" s="805">
        <v>0</v>
      </c>
      <c r="H10" s="805">
        <v>0</v>
      </c>
      <c r="I10" s="805">
        <v>0</v>
      </c>
      <c r="J10" s="498">
        <v>-18.577000000000002</v>
      </c>
      <c r="K10" s="949">
        <v>-18.577000000000002</v>
      </c>
    </row>
    <row r="11" spans="1:13">
      <c r="B11" s="171" t="s">
        <v>418</v>
      </c>
      <c r="C11" s="112" t="s">
        <v>297</v>
      </c>
      <c r="D11" s="806">
        <v>0</v>
      </c>
      <c r="E11" s="807">
        <v>0</v>
      </c>
      <c r="F11" s="807">
        <v>0</v>
      </c>
      <c r="G11" s="807">
        <v>0</v>
      </c>
      <c r="H11" s="807">
        <v>0</v>
      </c>
      <c r="I11" s="807">
        <v>0</v>
      </c>
      <c r="J11" s="807">
        <v>0.14299999999999999</v>
      </c>
      <c r="K11" s="808">
        <v>0.14299999999999999</v>
      </c>
      <c r="M11" s="769"/>
    </row>
    <row r="12" spans="1:13">
      <c r="B12" s="171" t="s">
        <v>419</v>
      </c>
      <c r="C12" s="112" t="s">
        <v>297</v>
      </c>
      <c r="D12" s="806">
        <v>0</v>
      </c>
      <c r="E12" s="807">
        <v>0</v>
      </c>
      <c r="F12" s="807">
        <v>0</v>
      </c>
      <c r="G12" s="807">
        <v>0</v>
      </c>
      <c r="H12" s="807">
        <v>0</v>
      </c>
      <c r="I12" s="807">
        <v>0</v>
      </c>
      <c r="J12" s="807">
        <v>121.008</v>
      </c>
      <c r="K12" s="808">
        <v>121.008</v>
      </c>
      <c r="L12" s="768"/>
      <c r="M12" s="767"/>
    </row>
    <row r="13" spans="1:13">
      <c r="B13" s="171" t="s">
        <v>420</v>
      </c>
      <c r="C13" s="112" t="s">
        <v>297</v>
      </c>
      <c r="D13" s="806">
        <v>0</v>
      </c>
      <c r="E13" s="807">
        <v>0</v>
      </c>
      <c r="F13" s="807">
        <v>0</v>
      </c>
      <c r="G13" s="807">
        <v>0</v>
      </c>
      <c r="H13" s="807">
        <v>0</v>
      </c>
      <c r="I13" s="807">
        <v>0</v>
      </c>
      <c r="J13" s="498">
        <v>-346.32100000000003</v>
      </c>
      <c r="K13" s="808">
        <v>0</v>
      </c>
      <c r="L13" s="768"/>
    </row>
    <row r="14" spans="1:13">
      <c r="B14" s="171" t="s">
        <v>421</v>
      </c>
      <c r="C14" s="112" t="s">
        <v>297</v>
      </c>
      <c r="D14" s="806">
        <v>0</v>
      </c>
      <c r="E14" s="807">
        <v>0</v>
      </c>
      <c r="F14" s="807">
        <v>0</v>
      </c>
      <c r="G14" s="807">
        <v>0</v>
      </c>
      <c r="H14" s="807">
        <v>0</v>
      </c>
      <c r="I14" s="807">
        <v>0</v>
      </c>
      <c r="J14" s="807">
        <v>0</v>
      </c>
      <c r="K14" s="808">
        <v>0</v>
      </c>
      <c r="L14" s="768"/>
    </row>
    <row r="15" spans="1:13">
      <c r="B15" s="171" t="s">
        <v>422</v>
      </c>
      <c r="C15" s="112" t="s">
        <v>297</v>
      </c>
      <c r="D15" s="806">
        <v>0</v>
      </c>
      <c r="E15" s="807">
        <v>0</v>
      </c>
      <c r="F15" s="807">
        <v>0</v>
      </c>
      <c r="G15" s="807">
        <v>0</v>
      </c>
      <c r="H15" s="807">
        <v>0</v>
      </c>
      <c r="I15" s="807">
        <v>0</v>
      </c>
      <c r="J15" s="807">
        <v>0</v>
      </c>
      <c r="K15" s="808">
        <v>0</v>
      </c>
      <c r="L15" s="768"/>
    </row>
    <row r="16" spans="1:13">
      <c r="B16" s="171" t="s">
        <v>423</v>
      </c>
      <c r="C16" s="112" t="s">
        <v>297</v>
      </c>
      <c r="D16" s="806">
        <v>0</v>
      </c>
      <c r="E16" s="807">
        <v>0</v>
      </c>
      <c r="F16" s="807">
        <v>0</v>
      </c>
      <c r="G16" s="807">
        <v>0</v>
      </c>
      <c r="H16" s="807">
        <v>0</v>
      </c>
      <c r="I16" s="807">
        <v>0</v>
      </c>
      <c r="J16" s="807">
        <v>0</v>
      </c>
      <c r="K16" s="808">
        <v>0</v>
      </c>
      <c r="L16" s="768"/>
    </row>
    <row r="17" spans="2:13">
      <c r="B17" s="171" t="s">
        <v>424</v>
      </c>
      <c r="C17" s="112" t="s">
        <v>297</v>
      </c>
      <c r="D17" s="806">
        <v>0</v>
      </c>
      <c r="E17" s="807">
        <v>0</v>
      </c>
      <c r="F17" s="807">
        <v>0</v>
      </c>
      <c r="G17" s="807">
        <v>0</v>
      </c>
      <c r="H17" s="807">
        <v>0</v>
      </c>
      <c r="I17" s="807">
        <v>0</v>
      </c>
      <c r="J17" s="807">
        <v>0</v>
      </c>
      <c r="K17" s="808">
        <v>0</v>
      </c>
      <c r="L17" s="768"/>
    </row>
    <row r="18" spans="2:13">
      <c r="B18" s="171" t="s">
        <v>425</v>
      </c>
      <c r="C18" s="112" t="s">
        <v>297</v>
      </c>
      <c r="D18" s="806">
        <v>0</v>
      </c>
      <c r="E18" s="807">
        <v>0</v>
      </c>
      <c r="F18" s="807">
        <v>0</v>
      </c>
      <c r="G18" s="807">
        <v>0</v>
      </c>
      <c r="H18" s="807">
        <v>0</v>
      </c>
      <c r="I18" s="807">
        <v>0</v>
      </c>
      <c r="J18" s="807">
        <v>0</v>
      </c>
      <c r="K18" s="808">
        <v>0</v>
      </c>
      <c r="L18" s="768"/>
    </row>
    <row r="19" spans="2:13">
      <c r="B19" s="171" t="s">
        <v>426</v>
      </c>
      <c r="C19" s="112" t="s">
        <v>297</v>
      </c>
      <c r="D19" s="806">
        <v>0</v>
      </c>
      <c r="E19" s="807">
        <v>0</v>
      </c>
      <c r="F19" s="807">
        <v>0</v>
      </c>
      <c r="G19" s="807">
        <v>0</v>
      </c>
      <c r="H19" s="807">
        <v>0</v>
      </c>
      <c r="I19" s="807">
        <v>0</v>
      </c>
      <c r="J19" s="807">
        <v>0</v>
      </c>
      <c r="K19" s="808">
        <v>0</v>
      </c>
      <c r="L19" s="768"/>
    </row>
    <row r="20" spans="2:13">
      <c r="B20" s="171" t="s">
        <v>427</v>
      </c>
      <c r="C20" s="112" t="s">
        <v>297</v>
      </c>
      <c r="D20" s="806">
        <v>0</v>
      </c>
      <c r="E20" s="807">
        <v>0</v>
      </c>
      <c r="F20" s="807">
        <v>0</v>
      </c>
      <c r="G20" s="807">
        <v>0</v>
      </c>
      <c r="H20" s="807">
        <v>0</v>
      </c>
      <c r="I20" s="807">
        <v>0</v>
      </c>
      <c r="J20" s="807">
        <v>0</v>
      </c>
      <c r="K20" s="808">
        <v>0</v>
      </c>
      <c r="L20" s="768"/>
    </row>
    <row r="21" spans="2:13">
      <c r="B21" s="171" t="s">
        <v>428</v>
      </c>
      <c r="C21" s="112" t="s">
        <v>297</v>
      </c>
      <c r="D21" s="806">
        <v>0</v>
      </c>
      <c r="E21" s="807">
        <v>0</v>
      </c>
      <c r="F21" s="807">
        <v>0</v>
      </c>
      <c r="G21" s="807">
        <v>0</v>
      </c>
      <c r="H21" s="807">
        <v>0</v>
      </c>
      <c r="I21" s="807">
        <v>0</v>
      </c>
      <c r="J21" s="807">
        <v>0.214</v>
      </c>
      <c r="K21" s="808">
        <v>0</v>
      </c>
      <c r="L21" s="768"/>
    </row>
    <row r="22" spans="2:13">
      <c r="B22" s="171" t="s">
        <v>429</v>
      </c>
      <c r="C22" s="112" t="s">
        <v>297</v>
      </c>
      <c r="D22" s="806">
        <v>0</v>
      </c>
      <c r="E22" s="807">
        <v>0</v>
      </c>
      <c r="F22" s="807">
        <v>0</v>
      </c>
      <c r="G22" s="807">
        <v>0</v>
      </c>
      <c r="H22" s="807">
        <v>0</v>
      </c>
      <c r="I22" s="807">
        <v>0</v>
      </c>
      <c r="J22" s="807">
        <v>0</v>
      </c>
      <c r="K22" s="808">
        <v>0</v>
      </c>
      <c r="L22" s="768"/>
    </row>
    <row r="23" spans="2:13">
      <c r="B23" s="6" t="s">
        <v>430</v>
      </c>
      <c r="C23" s="193" t="s">
        <v>297</v>
      </c>
      <c r="D23" s="802">
        <f>SUM(D10:D22)</f>
        <v>0</v>
      </c>
      <c r="E23" s="802">
        <f t="shared" ref="E23:K23" si="2">SUM(E10:E22)</f>
        <v>0</v>
      </c>
      <c r="F23" s="802">
        <f t="shared" si="2"/>
        <v>0</v>
      </c>
      <c r="G23" s="802">
        <f t="shared" si="2"/>
        <v>0</v>
      </c>
      <c r="H23" s="802">
        <f t="shared" si="2"/>
        <v>0</v>
      </c>
      <c r="I23" s="802">
        <f t="shared" si="2"/>
        <v>0</v>
      </c>
      <c r="J23" s="102">
        <f t="shared" si="2"/>
        <v>-243.53300000000002</v>
      </c>
      <c r="K23" s="941">
        <f t="shared" si="2"/>
        <v>102.574</v>
      </c>
      <c r="L23" s="768"/>
      <c r="M23" s="271"/>
    </row>
    <row r="24" spans="2:13">
      <c r="B24" s="6"/>
      <c r="C24" s="112"/>
      <c r="D24" s="187"/>
      <c r="E24" s="187"/>
      <c r="F24" s="187"/>
      <c r="G24" s="187"/>
      <c r="H24" s="187"/>
      <c r="I24" s="187"/>
      <c r="J24" s="187"/>
      <c r="K24" s="187"/>
      <c r="L24" s="768"/>
      <c r="M24" s="2"/>
    </row>
    <row r="25" spans="2:13">
      <c r="B25" s="6" t="s">
        <v>431</v>
      </c>
      <c r="C25" s="8"/>
      <c r="D25" s="188"/>
      <c r="E25" s="188"/>
      <c r="F25" s="188"/>
      <c r="G25" s="188"/>
      <c r="H25" s="188"/>
      <c r="I25" s="188"/>
      <c r="J25" s="188"/>
      <c r="K25" s="188"/>
      <c r="L25" s="768"/>
      <c r="M25" s="2"/>
    </row>
    <row r="26" spans="2:13">
      <c r="B26" s="301" t="e">
        <f>#REF!</f>
        <v>#REF!</v>
      </c>
      <c r="C26" s="112" t="s">
        <v>297</v>
      </c>
      <c r="D26" s="785">
        <v>0</v>
      </c>
      <c r="E26" s="785">
        <v>0</v>
      </c>
      <c r="F26" s="785">
        <v>0</v>
      </c>
      <c r="G26" s="785">
        <v>0</v>
      </c>
      <c r="H26" s="785">
        <v>0</v>
      </c>
      <c r="I26" s="785">
        <v>0</v>
      </c>
      <c r="J26" s="785">
        <v>0</v>
      </c>
      <c r="K26" s="785">
        <v>0</v>
      </c>
      <c r="L26" s="768"/>
      <c r="M26" s="2"/>
    </row>
    <row r="27" spans="2:13">
      <c r="B27" s="301" t="e">
        <f>#REF!</f>
        <v>#REF!</v>
      </c>
      <c r="C27" s="112" t="s">
        <v>297</v>
      </c>
      <c r="D27" s="785">
        <v>0</v>
      </c>
      <c r="E27" s="786">
        <v>0</v>
      </c>
      <c r="F27" s="786">
        <v>0</v>
      </c>
      <c r="G27" s="786">
        <v>0</v>
      </c>
      <c r="H27" s="786">
        <v>0</v>
      </c>
      <c r="I27" s="786">
        <v>0</v>
      </c>
      <c r="J27" s="786">
        <v>0</v>
      </c>
      <c r="K27" s="809">
        <v>0</v>
      </c>
      <c r="L27" s="768"/>
      <c r="M27" s="21"/>
    </row>
    <row r="28" spans="2:13">
      <c r="B28" s="301" t="e">
        <f>#REF!</f>
        <v>#REF!</v>
      </c>
      <c r="C28" s="112" t="s">
        <v>297</v>
      </c>
      <c r="D28" s="785">
        <v>0</v>
      </c>
      <c r="E28" s="786">
        <v>0</v>
      </c>
      <c r="F28" s="786">
        <v>0</v>
      </c>
      <c r="G28" s="786">
        <v>0</v>
      </c>
      <c r="H28" s="786">
        <v>0</v>
      </c>
      <c r="I28" s="786">
        <v>0</v>
      </c>
      <c r="J28" s="786">
        <v>0</v>
      </c>
      <c r="K28" s="809">
        <v>0</v>
      </c>
      <c r="L28" s="768"/>
      <c r="M28" s="21"/>
    </row>
    <row r="29" spans="2:13">
      <c r="B29" s="301" t="e">
        <f>#REF!</f>
        <v>#REF!</v>
      </c>
      <c r="C29" s="112" t="s">
        <v>297</v>
      </c>
      <c r="D29" s="785">
        <v>0</v>
      </c>
      <c r="E29" s="786">
        <v>0</v>
      </c>
      <c r="F29" s="786">
        <v>0</v>
      </c>
      <c r="G29" s="786">
        <v>0</v>
      </c>
      <c r="H29" s="786">
        <v>0</v>
      </c>
      <c r="I29" s="786">
        <v>0</v>
      </c>
      <c r="J29" s="786">
        <v>0</v>
      </c>
      <c r="K29" s="809">
        <v>0</v>
      </c>
      <c r="L29" s="768"/>
      <c r="M29" s="21"/>
    </row>
    <row r="30" spans="2:13">
      <c r="B30" s="301" t="s">
        <v>607</v>
      </c>
      <c r="C30" s="112" t="s">
        <v>297</v>
      </c>
      <c r="D30" s="785">
        <v>0</v>
      </c>
      <c r="E30" s="786">
        <v>0</v>
      </c>
      <c r="F30" s="786">
        <v>0</v>
      </c>
      <c r="G30" s="786">
        <v>0</v>
      </c>
      <c r="H30" s="786">
        <v>0</v>
      </c>
      <c r="I30" s="786">
        <v>0</v>
      </c>
      <c r="J30" s="786">
        <v>300</v>
      </c>
      <c r="K30" s="809">
        <v>18.577000000000002</v>
      </c>
      <c r="L30" s="768"/>
    </row>
    <row r="31" spans="2:13">
      <c r="B31" s="301" t="s">
        <v>608</v>
      </c>
      <c r="C31" s="112" t="s">
        <v>297</v>
      </c>
      <c r="D31" s="785">
        <v>0</v>
      </c>
      <c r="E31" s="786">
        <v>0</v>
      </c>
      <c r="F31" s="786">
        <v>0</v>
      </c>
      <c r="G31" s="786">
        <v>0</v>
      </c>
      <c r="H31" s="786">
        <v>0</v>
      </c>
      <c r="I31" s="786">
        <v>0</v>
      </c>
      <c r="J31" s="498">
        <v>-0.14299999999999999</v>
      </c>
      <c r="K31" s="948">
        <v>-0.14299999999999999</v>
      </c>
      <c r="L31" s="768"/>
    </row>
    <row r="32" spans="2:13" ht="12.75" customHeight="1">
      <c r="B32" s="301" t="s">
        <v>609</v>
      </c>
      <c r="C32" s="112" t="s">
        <v>297</v>
      </c>
      <c r="D32" s="785">
        <v>0</v>
      </c>
      <c r="E32" s="786">
        <v>0</v>
      </c>
      <c r="F32" s="786">
        <v>0</v>
      </c>
      <c r="G32" s="786">
        <v>0</v>
      </c>
      <c r="H32" s="786">
        <v>0</v>
      </c>
      <c r="I32" s="786">
        <v>0</v>
      </c>
      <c r="J32" s="498">
        <v>-1.222</v>
      </c>
      <c r="K32" s="948">
        <v>-1.222</v>
      </c>
      <c r="L32" s="768"/>
    </row>
    <row r="33" spans="2:13">
      <c r="B33" s="301" t="s">
        <v>610</v>
      </c>
      <c r="C33" s="112" t="s">
        <v>297</v>
      </c>
      <c r="D33" s="785">
        <v>64.701999999999998</v>
      </c>
      <c r="E33" s="786">
        <v>72.97</v>
      </c>
      <c r="F33" s="786">
        <v>77.400000000000006</v>
      </c>
      <c r="G33" s="786">
        <v>86.49</v>
      </c>
      <c r="H33" s="786">
        <v>95.93</v>
      </c>
      <c r="I33" s="786">
        <v>99.303327772490036</v>
      </c>
      <c r="J33" s="786">
        <v>0</v>
      </c>
      <c r="K33" s="809">
        <v>0</v>
      </c>
      <c r="L33" s="768"/>
    </row>
    <row r="34" spans="2:13">
      <c r="B34" s="301" t="e">
        <f>#REF!</f>
        <v>#REF!</v>
      </c>
      <c r="C34" s="112" t="s">
        <v>297</v>
      </c>
      <c r="D34" s="785">
        <v>0</v>
      </c>
      <c r="E34" s="786">
        <v>0</v>
      </c>
      <c r="F34" s="786">
        <v>0</v>
      </c>
      <c r="G34" s="786">
        <v>0</v>
      </c>
      <c r="H34" s="786">
        <v>0</v>
      </c>
      <c r="I34" s="786">
        <v>0</v>
      </c>
      <c r="J34" s="786">
        <v>0</v>
      </c>
      <c r="K34" s="809">
        <v>0</v>
      </c>
      <c r="L34" s="768"/>
    </row>
    <row r="35" spans="2:13">
      <c r="B35" s="301" t="e">
        <f>#REF!</f>
        <v>#REF!</v>
      </c>
      <c r="C35" s="112" t="s">
        <v>297</v>
      </c>
      <c r="D35" s="785">
        <v>0</v>
      </c>
      <c r="E35" s="786">
        <v>0</v>
      </c>
      <c r="F35" s="786">
        <v>0</v>
      </c>
      <c r="G35" s="786">
        <v>0</v>
      </c>
      <c r="H35" s="786">
        <v>0</v>
      </c>
      <c r="I35" s="786">
        <v>0</v>
      </c>
      <c r="J35" s="786">
        <v>0</v>
      </c>
      <c r="K35" s="809">
        <v>0</v>
      </c>
      <c r="L35" s="768"/>
    </row>
    <row r="36" spans="2:13">
      <c r="B36" s="301" t="e">
        <f>#REF!</f>
        <v>#REF!</v>
      </c>
      <c r="C36" s="112" t="s">
        <v>297</v>
      </c>
      <c r="D36" s="785">
        <v>0</v>
      </c>
      <c r="E36" s="786">
        <v>0</v>
      </c>
      <c r="F36" s="786">
        <v>0</v>
      </c>
      <c r="G36" s="786">
        <v>0</v>
      </c>
      <c r="H36" s="786">
        <v>0</v>
      </c>
      <c r="I36" s="786">
        <v>0</v>
      </c>
      <c r="J36" s="786">
        <v>0</v>
      </c>
      <c r="K36" s="809">
        <v>0</v>
      </c>
      <c r="L36" s="768"/>
    </row>
    <row r="37" spans="2:13">
      <c r="B37" s="301" t="e">
        <f>#REF!</f>
        <v>#REF!</v>
      </c>
      <c r="C37" s="112" t="s">
        <v>297</v>
      </c>
      <c r="D37" s="785">
        <v>0</v>
      </c>
      <c r="E37" s="786">
        <v>0</v>
      </c>
      <c r="F37" s="786">
        <v>0</v>
      </c>
      <c r="G37" s="786">
        <v>0</v>
      </c>
      <c r="H37" s="786">
        <v>0</v>
      </c>
      <c r="I37" s="786">
        <v>0</v>
      </c>
      <c r="J37" s="786">
        <v>0</v>
      </c>
      <c r="K37" s="809">
        <v>0</v>
      </c>
      <c r="L37" s="768"/>
    </row>
    <row r="38" spans="2:13">
      <c r="B38" s="301" t="e">
        <f>#REF!</f>
        <v>#REF!</v>
      </c>
      <c r="C38" s="112" t="s">
        <v>297</v>
      </c>
      <c r="D38" s="785">
        <v>0</v>
      </c>
      <c r="E38" s="786">
        <v>0</v>
      </c>
      <c r="F38" s="786">
        <v>0</v>
      </c>
      <c r="G38" s="786">
        <v>0</v>
      </c>
      <c r="H38" s="786">
        <v>0</v>
      </c>
      <c r="I38" s="786">
        <v>0</v>
      </c>
      <c r="J38" s="786">
        <v>0</v>
      </c>
      <c r="K38" s="809">
        <v>0</v>
      </c>
      <c r="L38" s="768"/>
    </row>
    <row r="39" spans="2:13">
      <c r="B39" s="301" t="e">
        <f>#REF!</f>
        <v>#REF!</v>
      </c>
      <c r="C39" s="112" t="s">
        <v>297</v>
      </c>
      <c r="D39" s="785">
        <v>0</v>
      </c>
      <c r="E39" s="786">
        <v>0</v>
      </c>
      <c r="F39" s="786">
        <v>0</v>
      </c>
      <c r="G39" s="786">
        <v>0</v>
      </c>
      <c r="H39" s="786">
        <v>0</v>
      </c>
      <c r="I39" s="786">
        <v>0</v>
      </c>
      <c r="J39" s="786">
        <v>0</v>
      </c>
      <c r="K39" s="809">
        <v>0</v>
      </c>
      <c r="L39" s="768"/>
    </row>
    <row r="40" spans="2:13">
      <c r="B40" s="301" t="e">
        <f>#REF!</f>
        <v>#REF!</v>
      </c>
      <c r="C40" s="112" t="s">
        <v>297</v>
      </c>
      <c r="D40" s="785">
        <v>0</v>
      </c>
      <c r="E40" s="786">
        <v>0</v>
      </c>
      <c r="F40" s="786">
        <v>0</v>
      </c>
      <c r="G40" s="786">
        <v>0</v>
      </c>
      <c r="H40" s="786">
        <v>0</v>
      </c>
      <c r="I40" s="786">
        <v>0</v>
      </c>
      <c r="J40" s="786">
        <v>0</v>
      </c>
      <c r="K40" s="809">
        <v>0</v>
      </c>
      <c r="L40" s="768"/>
    </row>
    <row r="41" spans="2:13">
      <c r="B41" s="301" t="e">
        <f>#REF!</f>
        <v>#REF!</v>
      </c>
      <c r="C41" s="112" t="s">
        <v>297</v>
      </c>
      <c r="D41" s="787">
        <v>0</v>
      </c>
      <c r="E41" s="788">
        <v>0</v>
      </c>
      <c r="F41" s="788">
        <v>0</v>
      </c>
      <c r="G41" s="788">
        <v>0</v>
      </c>
      <c r="H41" s="788">
        <v>0</v>
      </c>
      <c r="I41" s="788">
        <v>0</v>
      </c>
      <c r="J41" s="788">
        <v>0</v>
      </c>
      <c r="K41" s="810">
        <v>0</v>
      </c>
      <c r="L41" s="768"/>
    </row>
    <row r="42" spans="2:13">
      <c r="B42" s="956" t="s">
        <v>432</v>
      </c>
      <c r="C42" s="112" t="s">
        <v>297</v>
      </c>
      <c r="D42" s="811">
        <f>SUM(D23,D26:D41)</f>
        <v>64.701999999999998</v>
      </c>
      <c r="E42" s="811">
        <f t="shared" ref="E42:K42" si="3">SUM(E23,E26:E41)</f>
        <v>72.97</v>
      </c>
      <c r="F42" s="811">
        <f t="shared" si="3"/>
        <v>77.400000000000006</v>
      </c>
      <c r="G42" s="811">
        <f t="shared" si="3"/>
        <v>86.49</v>
      </c>
      <c r="H42" s="811">
        <f t="shared" si="3"/>
        <v>95.93</v>
      </c>
      <c r="I42" s="811">
        <f t="shared" si="3"/>
        <v>99.303327772490036</v>
      </c>
      <c r="J42" s="811">
        <f>SUM(J23,J26:J41)</f>
        <v>55.101999999999983</v>
      </c>
      <c r="K42" s="811">
        <f t="shared" si="3"/>
        <v>119.786</v>
      </c>
      <c r="L42" s="768"/>
    </row>
    <row r="43" spans="2:13">
      <c r="B43" s="302" t="s">
        <v>433</v>
      </c>
      <c r="C43" s="112" t="s">
        <v>297</v>
      </c>
      <c r="D43" s="812"/>
      <c r="E43" s="813"/>
      <c r="F43" s="813"/>
      <c r="G43" s="813"/>
      <c r="H43" s="813"/>
      <c r="I43" s="813"/>
      <c r="J43" s="813"/>
      <c r="K43" s="814">
        <v>12.97188390845875</v>
      </c>
      <c r="L43" s="768"/>
    </row>
    <row r="44" spans="2:13">
      <c r="B44" s="956" t="s">
        <v>434</v>
      </c>
      <c r="C44" s="112" t="s">
        <v>297</v>
      </c>
      <c r="D44" s="815">
        <f>SUM(D42:D43)</f>
        <v>64.701999999999998</v>
      </c>
      <c r="E44" s="816">
        <f t="shared" ref="E44:K44" si="4">SUM(E42:E43)</f>
        <v>72.97</v>
      </c>
      <c r="F44" s="816">
        <f t="shared" si="4"/>
        <v>77.400000000000006</v>
      </c>
      <c r="G44" s="816">
        <f t="shared" si="4"/>
        <v>86.49</v>
      </c>
      <c r="H44" s="816">
        <f t="shared" si="4"/>
        <v>95.93</v>
      </c>
      <c r="I44" s="816">
        <f t="shared" si="4"/>
        <v>99.303327772490036</v>
      </c>
      <c r="J44" s="816">
        <f t="shared" si="4"/>
        <v>55.101999999999983</v>
      </c>
      <c r="K44" s="817">
        <f t="shared" si="4"/>
        <v>132.75788390845875</v>
      </c>
      <c r="L44" s="768"/>
      <c r="M44" s="770"/>
    </row>
    <row r="45" spans="2:13">
      <c r="D45" s="184" t="e">
        <f>IF(ABS(D42-#REF!)&lt;'RFPR cover'!$F$14,"OK","Error")</f>
        <v>#REF!</v>
      </c>
      <c r="E45" s="185" t="e">
        <f>IF(ABS(E42-#REF!)&lt;'RFPR cover'!$F$14,"OK","Error")</f>
        <v>#REF!</v>
      </c>
      <c r="F45" s="185" t="e">
        <f>IF(ABS(F42-#REF!)&lt;'RFPR cover'!$F$14,"OK","Error")</f>
        <v>#REF!</v>
      </c>
      <c r="G45" s="185" t="e">
        <f>IF(ABS(G42-#REF!)&lt;'RFPR cover'!$F$14,"OK","Error")</f>
        <v>#REF!</v>
      </c>
      <c r="H45" s="185" t="e">
        <f>IF(ABS(H42-#REF!)&lt;'RFPR cover'!$F$14,"OK","Error")</f>
        <v>#REF!</v>
      </c>
      <c r="I45" s="185" t="e">
        <f>IF(ABS(I42-#REF!)&lt;'RFPR cover'!$F$14,"OK","Error")</f>
        <v>#REF!</v>
      </c>
      <c r="J45" s="185" t="e">
        <f>IF(ABS(J42-#REF!)&lt;'RFPR cover'!$F$14,"OK","Error")</f>
        <v>#REF!</v>
      </c>
      <c r="K45" s="186" t="e">
        <f>IF(ABS(K42-#REF!)&lt;'RFPR cover'!$F$14,"OK","Error")</f>
        <v>#REF!</v>
      </c>
    </row>
    <row r="47" spans="2:13">
      <c r="B47" s="955" t="s">
        <v>435</v>
      </c>
      <c r="C47" s="112" t="s">
        <v>297</v>
      </c>
      <c r="D47" s="818">
        <v>0</v>
      </c>
      <c r="E47" s="801">
        <f>D48</f>
        <v>64.701999999999998</v>
      </c>
      <c r="F47" s="801">
        <f t="shared" ref="F47:K47" si="5">E48</f>
        <v>72.97</v>
      </c>
      <c r="G47" s="801">
        <f t="shared" si="5"/>
        <v>77.400000000000006</v>
      </c>
      <c r="H47" s="801">
        <f t="shared" si="5"/>
        <v>86.49</v>
      </c>
      <c r="I47" s="801">
        <f t="shared" si="5"/>
        <v>95.93</v>
      </c>
      <c r="J47" s="801">
        <f t="shared" si="5"/>
        <v>99.303327772490036</v>
      </c>
      <c r="K47" s="819">
        <f t="shared" si="5"/>
        <v>55.101999999999983</v>
      </c>
      <c r="L47" s="953"/>
    </row>
    <row r="48" spans="2:13">
      <c r="B48" s="955" t="s">
        <v>436</v>
      </c>
      <c r="C48" s="112" t="s">
        <v>297</v>
      </c>
      <c r="D48" s="820">
        <f>D44</f>
        <v>64.701999999999998</v>
      </c>
      <c r="E48" s="821">
        <f>E44</f>
        <v>72.97</v>
      </c>
      <c r="F48" s="821">
        <f t="shared" ref="F48:K48" si="6">F44</f>
        <v>77.400000000000006</v>
      </c>
      <c r="G48" s="821">
        <f t="shared" si="6"/>
        <v>86.49</v>
      </c>
      <c r="H48" s="821">
        <f t="shared" si="6"/>
        <v>95.93</v>
      </c>
      <c r="I48" s="821">
        <f t="shared" si="6"/>
        <v>99.303327772490036</v>
      </c>
      <c r="J48" s="821">
        <f t="shared" si="6"/>
        <v>55.101999999999983</v>
      </c>
      <c r="K48" s="822">
        <f t="shared" si="6"/>
        <v>132.75788390845875</v>
      </c>
      <c r="L48" s="953"/>
    </row>
    <row r="49" spans="2:13">
      <c r="D49" s="12"/>
      <c r="E49" s="12"/>
      <c r="F49" s="12"/>
      <c r="G49" s="12"/>
      <c r="H49" s="12"/>
      <c r="I49" s="12"/>
      <c r="J49" s="12"/>
      <c r="K49" s="12"/>
    </row>
    <row r="50" spans="2:13">
      <c r="B50" s="6" t="s">
        <v>437</v>
      </c>
    </row>
    <row r="51" spans="2:13">
      <c r="B51" t="s">
        <v>414</v>
      </c>
      <c r="C51" s="953" t="s">
        <v>250</v>
      </c>
      <c r="D51" s="891">
        <v>0</v>
      </c>
      <c r="E51" s="892">
        <v>0</v>
      </c>
      <c r="F51" s="892">
        <v>0</v>
      </c>
      <c r="G51" s="892">
        <v>0</v>
      </c>
      <c r="H51" s="892">
        <v>0</v>
      </c>
      <c r="I51" s="892">
        <v>0</v>
      </c>
      <c r="J51" s="892">
        <v>0</v>
      </c>
      <c r="K51" s="893">
        <v>0</v>
      </c>
    </row>
    <row r="52" spans="2:13">
      <c r="B52" t="s">
        <v>415</v>
      </c>
      <c r="C52" s="953" t="s">
        <v>250</v>
      </c>
      <c r="D52" s="392">
        <f>1-D51</f>
        <v>1</v>
      </c>
      <c r="E52" s="393">
        <f t="shared" ref="E52:K52" si="7">1-E51</f>
        <v>1</v>
      </c>
      <c r="F52" s="393">
        <f t="shared" si="7"/>
        <v>1</v>
      </c>
      <c r="G52" s="393">
        <f t="shared" si="7"/>
        <v>1</v>
      </c>
      <c r="H52" s="393">
        <f t="shared" si="7"/>
        <v>1</v>
      </c>
      <c r="I52" s="393">
        <f t="shared" si="7"/>
        <v>1</v>
      </c>
      <c r="J52" s="393">
        <f t="shared" si="7"/>
        <v>1</v>
      </c>
      <c r="K52" s="394">
        <f t="shared" si="7"/>
        <v>1</v>
      </c>
    </row>
    <row r="53" spans="2:13">
      <c r="C53" s="953"/>
      <c r="D53" s="953"/>
      <c r="E53" s="953"/>
      <c r="F53" s="953"/>
      <c r="G53" s="953"/>
      <c r="H53" s="953"/>
      <c r="I53" s="953"/>
      <c r="J53" s="953"/>
      <c r="K53" s="953"/>
      <c r="L53" s="953"/>
    </row>
    <row r="54" spans="2:13">
      <c r="B54" s="158" t="s">
        <v>438</v>
      </c>
      <c r="C54" s="220" t="s">
        <v>297</v>
      </c>
      <c r="D54" s="823">
        <f>AVERAGE(D47:D48)*D52</f>
        <v>32.350999999999999</v>
      </c>
      <c r="E54" s="824">
        <f t="shared" ref="E54:K54" si="8">AVERAGE(E47:E48)*E52</f>
        <v>68.835999999999999</v>
      </c>
      <c r="F54" s="824">
        <f t="shared" si="8"/>
        <v>75.185000000000002</v>
      </c>
      <c r="G54" s="824">
        <f t="shared" si="8"/>
        <v>81.944999999999993</v>
      </c>
      <c r="H54" s="824">
        <f t="shared" si="8"/>
        <v>91.210000000000008</v>
      </c>
      <c r="I54" s="824">
        <f t="shared" si="8"/>
        <v>97.616663886245021</v>
      </c>
      <c r="J54" s="824">
        <f t="shared" si="8"/>
        <v>77.202663886245006</v>
      </c>
      <c r="K54" s="825">
        <f t="shared" si="8"/>
        <v>93.929941954229363</v>
      </c>
    </row>
    <row r="55" spans="2:13">
      <c r="B55" s="158" t="s">
        <v>439</v>
      </c>
      <c r="C55" s="112" t="s">
        <v>297</v>
      </c>
      <c r="D55" s="826">
        <f>D56-D54</f>
        <v>65.704998769955381</v>
      </c>
      <c r="E55" s="827">
        <f t="shared" ref="E55:K55" si="9">E56-E54</f>
        <v>49.257775814919526</v>
      </c>
      <c r="F55" s="827">
        <f t="shared" si="9"/>
        <v>57.519437392723887</v>
      </c>
      <c r="G55" s="827">
        <f t="shared" si="9"/>
        <v>67.72934892341749</v>
      </c>
      <c r="H55" s="827">
        <f t="shared" si="9"/>
        <v>77.845197805435703</v>
      </c>
      <c r="I55" s="827">
        <f t="shared" si="9"/>
        <v>92.441283083290159</v>
      </c>
      <c r="J55" s="827">
        <f t="shared" si="9"/>
        <v>131.43966223164782</v>
      </c>
      <c r="K55" s="828">
        <f t="shared" si="9"/>
        <v>127.3331978932019</v>
      </c>
    </row>
    <row r="56" spans="2:13">
      <c r="B56" s="158" t="s">
        <v>440</v>
      </c>
      <c r="C56" s="112" t="s">
        <v>297</v>
      </c>
      <c r="D56" s="829">
        <f>IF(D6='RFPR cover'!$C$13,AVERAGE(('R9 - RAV'!D16*'R9 - RAV'!D36),'R9 - RAV'!D38),AVERAGE('R9 - RAV'!C38:D38))</f>
        <v>98.05599876995538</v>
      </c>
      <c r="E56" s="829">
        <f>IF(E6='RFPR cover'!$C$13,AVERAGE(('R9 - RAV'!E16*'R9 - RAV'!E36),'R9 - RAV'!E38),AVERAGE('R9 - RAV'!D38:E38))</f>
        <v>118.09377581491952</v>
      </c>
      <c r="F56" s="829">
        <f>IF(F6='RFPR cover'!$C$13,AVERAGE(('R9 - RAV'!F16*'R9 - RAV'!F36),'R9 - RAV'!F38),AVERAGE('R9 - RAV'!E38:F38))</f>
        <v>132.70443739272389</v>
      </c>
      <c r="G56" s="829">
        <f>IF(G6='RFPR cover'!$C$13,AVERAGE(('R9 - RAV'!G16*'R9 - RAV'!G36),'R9 - RAV'!G38),AVERAGE('R9 - RAV'!F38:G38))</f>
        <v>149.67434892341748</v>
      </c>
      <c r="H56" s="829">
        <f>IF(H6='RFPR cover'!$C$13,AVERAGE(('R9 - RAV'!H16*'R9 - RAV'!H36),'R9 - RAV'!H38),AVERAGE('R9 - RAV'!G38:H38))</f>
        <v>169.05519780543571</v>
      </c>
      <c r="I56" s="829">
        <f>IF(I6='RFPR cover'!$C$13,AVERAGE(('R9 - RAV'!I16*'R9 - RAV'!I36),'R9 - RAV'!I38),AVERAGE('R9 - RAV'!H38:I38))</f>
        <v>190.05794696953518</v>
      </c>
      <c r="J56" s="829">
        <f>IF(J6='RFPR cover'!$C$13,AVERAGE(('R9 - RAV'!J16*'R9 - RAV'!J36),'R9 - RAV'!J38),AVERAGE('R9 - RAV'!I38:J38))</f>
        <v>208.64232611789282</v>
      </c>
      <c r="K56" s="829">
        <f>IF(K6='RFPR cover'!$C$13,AVERAGE(('R9 - RAV'!K16*'R9 - RAV'!K36),'R9 - RAV'!K38),AVERAGE('R9 - RAV'!J38:K38))</f>
        <v>221.26313984743126</v>
      </c>
    </row>
    <row r="57" spans="2:13">
      <c r="B57" s="158" t="s">
        <v>441</v>
      </c>
      <c r="C57" s="112" t="s">
        <v>250</v>
      </c>
      <c r="D57" s="189">
        <f>D54/D56</f>
        <v>0.32992372119830399</v>
      </c>
      <c r="E57" s="190">
        <f t="shared" ref="E57:K57" si="10">E54/E56</f>
        <v>0.58289270137218796</v>
      </c>
      <c r="F57" s="190">
        <f t="shared" si="10"/>
        <v>0.56655980370496906</v>
      </c>
      <c r="G57" s="190">
        <f t="shared" si="10"/>
        <v>0.54748860168369962</v>
      </c>
      <c r="H57" s="190">
        <f t="shared" si="10"/>
        <v>0.53952792451240028</v>
      </c>
      <c r="I57" s="190">
        <f t="shared" si="10"/>
        <v>0.51361527072526059</v>
      </c>
      <c r="J57" s="190">
        <f t="shared" si="10"/>
        <v>0.37002397990243763</v>
      </c>
      <c r="K57" s="191">
        <f t="shared" si="10"/>
        <v>0.4245168988336574</v>
      </c>
    </row>
    <row r="58" spans="2:13">
      <c r="B58" s="158" t="s">
        <v>16</v>
      </c>
      <c r="C58" s="112" t="s">
        <v>250</v>
      </c>
      <c r="D58" s="697">
        <f>'RFPR cover'!$C$12</f>
        <v>0.6</v>
      </c>
      <c r="E58" s="698">
        <f>'RFPR cover'!$C$12</f>
        <v>0.6</v>
      </c>
      <c r="F58" s="698">
        <f>'RFPR cover'!$C$12</f>
        <v>0.6</v>
      </c>
      <c r="G58" s="698">
        <f>'RFPR cover'!$C$12</f>
        <v>0.6</v>
      </c>
      <c r="H58" s="698">
        <f>'RFPR cover'!$C$12</f>
        <v>0.6</v>
      </c>
      <c r="I58" s="698">
        <f>'RFPR cover'!$C$12</f>
        <v>0.6</v>
      </c>
      <c r="J58" s="698">
        <f>'RFPR cover'!$C$12</f>
        <v>0.6</v>
      </c>
      <c r="K58" s="699">
        <f>'RFPR cover'!$C$12</f>
        <v>0.6</v>
      </c>
    </row>
    <row r="59" spans="2:13">
      <c r="B59" s="158" t="s">
        <v>442</v>
      </c>
      <c r="C59" s="112" t="s">
        <v>250</v>
      </c>
      <c r="D59" s="194">
        <f t="shared" ref="D59:K59" si="11">IF(ISBLANK(D23),"n/a",D57-D58)</f>
        <v>-0.27007627880169599</v>
      </c>
      <c r="E59" s="195">
        <f t="shared" si="11"/>
        <v>-1.7107298627812018E-2</v>
      </c>
      <c r="F59" s="195">
        <f t="shared" si="11"/>
        <v>-3.3440196295030922E-2</v>
      </c>
      <c r="G59" s="195">
        <f t="shared" si="11"/>
        <v>-5.2511398316300362E-2</v>
      </c>
      <c r="H59" s="195">
        <f t="shared" si="11"/>
        <v>-6.0472075487599697E-2</v>
      </c>
      <c r="I59" s="195">
        <f t="shared" si="11"/>
        <v>-8.6384729274739391E-2</v>
      </c>
      <c r="J59" s="195">
        <f t="shared" si="11"/>
        <v>-0.22997602009756235</v>
      </c>
      <c r="K59" s="196">
        <f t="shared" si="11"/>
        <v>-0.17548310116634258</v>
      </c>
    </row>
    <row r="61" spans="2:13">
      <c r="B61" s="158" t="s">
        <v>443</v>
      </c>
      <c r="C61" s="114" t="str">
        <f>'RFPR cover'!$C$14</f>
        <v>£m 09/10</v>
      </c>
      <c r="D61" s="830">
        <f t="shared" ref="D61:K61" si="12">D63*D57</f>
        <v>26.970757324026181</v>
      </c>
      <c r="E61" s="831">
        <f t="shared" si="12"/>
        <v>56.609212266712419</v>
      </c>
      <c r="F61" s="831">
        <f t="shared" si="12"/>
        <v>61.161289152708854</v>
      </c>
      <c r="G61" s="831">
        <f t="shared" si="12"/>
        <v>65.098594133979717</v>
      </c>
      <c r="H61" s="831">
        <f t="shared" si="12"/>
        <v>70.177016720829556</v>
      </c>
      <c r="I61" s="831">
        <f t="shared" si="12"/>
        <v>72.944264814376822</v>
      </c>
      <c r="J61" s="831">
        <f t="shared" si="12"/>
        <v>56.438402485719628</v>
      </c>
      <c r="K61" s="832">
        <f t="shared" si="12"/>
        <v>67.505732413436874</v>
      </c>
      <c r="M61" s="270"/>
    </row>
    <row r="62" spans="2:13">
      <c r="B62" s="158" t="s">
        <v>444</v>
      </c>
      <c r="C62" s="114" t="str">
        <f>'RFPR cover'!$C$14</f>
        <v>£m 09/10</v>
      </c>
      <c r="D62" s="833">
        <f>D63*(1-D57)</f>
        <v>54.777706308921076</v>
      </c>
      <c r="E62" s="834">
        <f t="shared" ref="E62:K62" si="13">E63*(1-E57)</f>
        <v>40.508511344251744</v>
      </c>
      <c r="F62" s="834">
        <f t="shared" si="13"/>
        <v>46.790755367128007</v>
      </c>
      <c r="G62" s="834">
        <f t="shared" si="13"/>
        <v>53.805423107257937</v>
      </c>
      <c r="H62" s="834">
        <f t="shared" si="13"/>
        <v>59.894131652541866</v>
      </c>
      <c r="I62" s="834">
        <f t="shared" si="13"/>
        <v>69.076950231224203</v>
      </c>
      <c r="J62" s="834">
        <f t="shared" si="13"/>
        <v>96.08793513326512</v>
      </c>
      <c r="K62" s="835">
        <f t="shared" si="13"/>
        <v>91.512041905809497</v>
      </c>
      <c r="M62" s="270"/>
    </row>
    <row r="63" spans="2:13">
      <c r="B63" s="158" t="s">
        <v>445</v>
      </c>
      <c r="C63" s="114" t="str">
        <f>'RFPR cover'!$C$14</f>
        <v>£m 09/10</v>
      </c>
      <c r="D63" s="836">
        <f>'R9 - RAV'!D47</f>
        <v>81.748463632947249</v>
      </c>
      <c r="E63" s="836">
        <f>'R9 - RAV'!E47</f>
        <v>97.117723610964163</v>
      </c>
      <c r="F63" s="836">
        <f>'R9 - RAV'!F47</f>
        <v>107.95204451983686</v>
      </c>
      <c r="G63" s="836">
        <f>'R9 - RAV'!G47</f>
        <v>118.90401724123765</v>
      </c>
      <c r="H63" s="836">
        <f>'R9 - RAV'!H47</f>
        <v>130.07114837337141</v>
      </c>
      <c r="I63" s="836">
        <f>'R9 - RAV'!I47</f>
        <v>142.02121504560102</v>
      </c>
      <c r="J63" s="836">
        <f>'R9 - RAV'!J47</f>
        <v>152.52633761898474</v>
      </c>
      <c r="K63" s="836">
        <f>'R9 - RAV'!K47</f>
        <v>159.01777431924637</v>
      </c>
    </row>
    <row r="64" spans="2:13">
      <c r="B64" s="158" t="s">
        <v>441</v>
      </c>
      <c r="C64" s="112" t="s">
        <v>250</v>
      </c>
      <c r="D64" s="189">
        <f>D61/D63</f>
        <v>0.32992372119830399</v>
      </c>
      <c r="E64" s="190">
        <f t="shared" ref="E64:K64" si="14">E61/E63</f>
        <v>0.58289270137218796</v>
      </c>
      <c r="F64" s="190">
        <f t="shared" si="14"/>
        <v>0.56655980370496906</v>
      </c>
      <c r="G64" s="190">
        <f t="shared" si="14"/>
        <v>0.54748860168369962</v>
      </c>
      <c r="H64" s="190">
        <f t="shared" si="14"/>
        <v>0.53952792451240028</v>
      </c>
      <c r="I64" s="190">
        <f t="shared" si="14"/>
        <v>0.51361527072526059</v>
      </c>
      <c r="J64" s="190">
        <f t="shared" si="14"/>
        <v>0.37002397990243763</v>
      </c>
      <c r="K64" s="191">
        <f t="shared" si="14"/>
        <v>0.4245168988336574</v>
      </c>
    </row>
    <row r="65" spans="2:11">
      <c r="B65" s="158" t="s">
        <v>16</v>
      </c>
      <c r="C65" s="112" t="s">
        <v>250</v>
      </c>
      <c r="D65" s="697">
        <f>'RFPR cover'!$C$12</f>
        <v>0.6</v>
      </c>
      <c r="E65" s="698">
        <f>'RFPR cover'!$C$12</f>
        <v>0.6</v>
      </c>
      <c r="F65" s="698">
        <f>'RFPR cover'!$C$12</f>
        <v>0.6</v>
      </c>
      <c r="G65" s="698">
        <f>'RFPR cover'!$C$12</f>
        <v>0.6</v>
      </c>
      <c r="H65" s="698">
        <f>'RFPR cover'!$C$12</f>
        <v>0.6</v>
      </c>
      <c r="I65" s="698">
        <f>'RFPR cover'!$C$12</f>
        <v>0.6</v>
      </c>
      <c r="J65" s="698">
        <f>'RFPR cover'!$C$12</f>
        <v>0.6</v>
      </c>
      <c r="K65" s="699">
        <f>'RFPR cover'!$C$12</f>
        <v>0.6</v>
      </c>
    </row>
    <row r="66" spans="2:11">
      <c r="B66" s="158" t="s">
        <v>442</v>
      </c>
      <c r="C66" s="112" t="s">
        <v>250</v>
      </c>
      <c r="D66" s="194">
        <f t="shared" ref="D66:K66" si="15">IF(ISBLANK(D23),"n/a",D64-D65)</f>
        <v>-0.27007627880169599</v>
      </c>
      <c r="E66" s="195">
        <f t="shared" si="15"/>
        <v>-1.7107298627812018E-2</v>
      </c>
      <c r="F66" s="195">
        <f t="shared" si="15"/>
        <v>-3.3440196295030922E-2</v>
      </c>
      <c r="G66" s="195">
        <f t="shared" si="15"/>
        <v>-5.2511398316300362E-2</v>
      </c>
      <c r="H66" s="195">
        <f t="shared" si="15"/>
        <v>-6.0472075487599697E-2</v>
      </c>
      <c r="I66" s="195">
        <f t="shared" si="15"/>
        <v>-8.6384729274739391E-2</v>
      </c>
      <c r="J66" s="195">
        <f t="shared" si="15"/>
        <v>-0.22997602009756235</v>
      </c>
      <c r="K66" s="196">
        <f t="shared" si="15"/>
        <v>-0.17548310116634258</v>
      </c>
    </row>
  </sheetData>
  <sheetProtection algorithmName="SHA-512" hashValue="b744s8QLHa0GYTkx3itV4l06sEE8v+OfurkOVM6Ptir+PKUwdUNai21WizqswVARFgts6Sd1u4xH5qjmm1MbVA==" saltValue="0rJrHedErEfpJ5fHPpvo0Q==" spinCount="100000" sheet="1" formatCells="0" formatColumns="0" formatRows="0" insertColumns="0" insertRows="0" insertHyperlinks="0" deleteColumns="0" deleteRows="0" sort="0" autoFilter="0" pivotTables="0"/>
  <conditionalFormatting sqref="D6:K6">
    <cfRule type="expression" dxfId="36" priority="22">
      <formula>AND(D$5="Actuals",E$5="Forecast")</formula>
    </cfRule>
  </conditionalFormatting>
  <conditionalFormatting sqref="D5:K5">
    <cfRule type="expression" dxfId="35" priority="11">
      <formula>AND(D$5="Actuals",E$5="Forecast")</formula>
    </cfRule>
  </conditionalFormatting>
  <conditionalFormatting sqref="J13">
    <cfRule type="expression" dxfId="34" priority="4">
      <formula>J$5="Forecast"</formula>
    </cfRule>
  </conditionalFormatting>
  <conditionalFormatting sqref="J10">
    <cfRule type="expression" dxfId="33" priority="3">
      <formula>J$5="Forecast"</formula>
    </cfRule>
  </conditionalFormatting>
  <conditionalFormatting sqref="J31:J32">
    <cfRule type="expression" dxfId="32" priority="1">
      <formula>J$5="Forecast"</formula>
    </cfRule>
  </conditionalFormatting>
  <pageMargins left="0.70866141732283472" right="0.70866141732283472" top="0.74803149606299213" bottom="0.74803149606299213" header="0.31496062992125984" footer="0.31496062992125984"/>
  <pageSetup paperSize="8" scale="83" orientation="landscape" r:id="rId1"/>
  <customProperties>
    <customPr name="EpmWorksheetKeyString_GU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9" id="{D124567E-9F0B-499E-895A-A9A6A77C130B}">
            <xm:f>'R7 - Financing'!D$5="Forecast"</xm:f>
            <x14:dxf>
              <fill>
                <patternFill>
                  <bgColor theme="7" tint="0.79998168889431442"/>
                </patternFill>
              </fill>
            </x14:dxf>
          </x14:cfRule>
          <x14:cfRule type="expression" priority="10"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topLeftCell="C1" zoomScale="80" zoomScaleNormal="80" workbookViewId="0">
      <pane ySplit="6" topLeftCell="A22" activePane="bottomLeft" state="frozen"/>
      <selection activeCell="B75" sqref="A1:XFD1048576"/>
      <selection pane="bottomLeft" activeCell="K29" sqref="K29"/>
    </sheetView>
  </sheetViews>
  <sheetFormatPr defaultRowHeight="12.75"/>
  <cols>
    <col min="1" max="1" width="8.375" customWidth="1"/>
    <col min="2" max="2" width="74.5" customWidth="1"/>
    <col min="3" max="3" width="14.125" style="157" customWidth="1"/>
    <col min="4" max="11" width="11.125" customWidth="1"/>
    <col min="12" max="12" width="5" customWidth="1"/>
    <col min="14" max="14" width="9" style="171"/>
  </cols>
  <sheetData>
    <row r="1" spans="1:14" s="18" customFormat="1" ht="20.25">
      <c r="A1" s="856" t="s">
        <v>446</v>
      </c>
      <c r="B1" s="732"/>
      <c r="C1" s="894"/>
      <c r="D1" s="211"/>
      <c r="E1" s="211"/>
      <c r="F1" s="211"/>
      <c r="G1" s="211"/>
      <c r="H1" s="211"/>
      <c r="I1" s="212"/>
      <c r="J1" s="212"/>
      <c r="K1" s="213"/>
      <c r="L1" s="876"/>
      <c r="N1" s="170"/>
    </row>
    <row r="2" spans="1:14" s="18" customFormat="1" ht="20.25">
      <c r="A2" s="725" t="str">
        <f>'RFPR cover'!C5</f>
        <v>NGET (SO)</v>
      </c>
      <c r="B2" s="720"/>
      <c r="C2" s="179"/>
      <c r="D2" s="16"/>
      <c r="E2" s="16"/>
      <c r="F2" s="16"/>
      <c r="G2" s="16"/>
      <c r="H2" s="16"/>
      <c r="I2" s="15"/>
      <c r="J2" s="15"/>
      <c r="K2" s="15"/>
      <c r="L2" s="93"/>
      <c r="N2" s="170"/>
    </row>
    <row r="3" spans="1:14" s="18" customFormat="1" ht="20.25">
      <c r="A3" s="728">
        <f>'RFPR cover'!C7</f>
        <v>2020</v>
      </c>
      <c r="B3" s="735"/>
      <c r="C3" s="321"/>
      <c r="D3" s="214"/>
      <c r="E3" s="214"/>
      <c r="F3" s="214"/>
      <c r="G3" s="214"/>
      <c r="H3" s="214"/>
      <c r="I3" s="210"/>
      <c r="J3" s="210"/>
      <c r="K3" s="210"/>
      <c r="L3" s="215"/>
      <c r="N3" s="170"/>
    </row>
    <row r="4" spans="1:14" s="2" customFormat="1" ht="12.75" customHeight="1">
      <c r="C4" s="1"/>
      <c r="N4" s="94"/>
    </row>
    <row r="5" spans="1:14" s="2" customFormat="1">
      <c r="B5" s="24"/>
      <c r="C5" s="180"/>
      <c r="D5" s="314" t="str">
        <f>IF(D6&lt;='RFPR cover'!$C$7-1,"Actuals","Forecast")</f>
        <v>Actuals</v>
      </c>
      <c r="E5" s="314" t="str">
        <f>IF(E6&lt;='RFPR cover'!$C$7-1,"Actuals","Forecast")</f>
        <v>Actuals</v>
      </c>
      <c r="F5" s="314" t="str">
        <f>IF(F6&lt;='RFPR cover'!$C$7-1,"Actuals","Forecast")</f>
        <v>Actuals</v>
      </c>
      <c r="G5" s="314" t="str">
        <f>IF(G6&lt;='RFPR cover'!$C$7-1,"Actuals","Forecast")</f>
        <v>Actuals</v>
      </c>
      <c r="H5" s="314" t="str">
        <f>IF(H6&lt;='RFPR cover'!$C$7-1,"Actuals","Forecast")</f>
        <v>Actuals</v>
      </c>
      <c r="I5" s="314" t="str">
        <f>IF(I6&lt;='RFPR cover'!$C$7-1,"Actuals","Forecast")</f>
        <v>Actuals</v>
      </c>
      <c r="J5" s="314" t="str">
        <f>IF(J6&lt;='RFPR cover'!$C$7-1,"Actuals","Forecast")</f>
        <v>Forecast</v>
      </c>
      <c r="K5" s="314" t="str">
        <f>IF(K6&lt;='RFPR cover'!$C$7-1,"Actuals","Forecast")</f>
        <v>Forecast</v>
      </c>
      <c r="N5" s="94"/>
    </row>
    <row r="6" spans="1:14" s="2" customFormat="1">
      <c r="C6" s="1"/>
      <c r="D6" s="90">
        <f>'RFPR cover'!$C$13</f>
        <v>2014</v>
      </c>
      <c r="E6" s="91">
        <f>D6+1</f>
        <v>2015</v>
      </c>
      <c r="F6" s="91">
        <f t="shared" ref="F6:K6" si="0">E6+1</f>
        <v>2016</v>
      </c>
      <c r="G6" s="91">
        <f t="shared" si="0"/>
        <v>2017</v>
      </c>
      <c r="H6" s="91">
        <f t="shared" si="0"/>
        <v>2018</v>
      </c>
      <c r="I6" s="91">
        <f t="shared" si="0"/>
        <v>2019</v>
      </c>
      <c r="J6" s="91">
        <f t="shared" si="0"/>
        <v>2020</v>
      </c>
      <c r="K6" s="154">
        <f t="shared" si="0"/>
        <v>2021</v>
      </c>
      <c r="N6" s="94"/>
    </row>
    <row r="7" spans="1:14" s="2" customFormat="1">
      <c r="A7" s="21"/>
      <c r="B7" s="21"/>
      <c r="C7" s="268"/>
      <c r="D7" s="347"/>
      <c r="E7" s="347"/>
      <c r="F7" s="347"/>
      <c r="G7" s="347"/>
      <c r="H7" s="347"/>
      <c r="I7" s="347"/>
      <c r="J7" s="347"/>
      <c r="K7" s="347"/>
      <c r="L7" s="21"/>
      <c r="M7" s="21"/>
      <c r="N7" s="183"/>
    </row>
    <row r="8" spans="1:14" s="2" customFormat="1">
      <c r="B8" s="5" t="s">
        <v>447</v>
      </c>
      <c r="N8" s="94"/>
    </row>
    <row r="9" spans="1:14" s="2" customFormat="1">
      <c r="B9" s="300" t="s">
        <v>448</v>
      </c>
      <c r="C9" s="300"/>
      <c r="D9" s="300"/>
      <c r="E9" s="300"/>
      <c r="F9" s="300"/>
      <c r="G9" s="300"/>
      <c r="H9" s="300"/>
      <c r="I9" s="300"/>
      <c r="J9" s="300"/>
      <c r="K9" s="300"/>
      <c r="L9" s="300"/>
      <c r="N9" s="94"/>
    </row>
    <row r="10" spans="1:14" s="21" customFormat="1">
      <c r="B10" s="346"/>
      <c r="C10" s="346"/>
      <c r="D10" s="346"/>
      <c r="E10" s="346"/>
      <c r="F10" s="346"/>
      <c r="G10" s="346"/>
      <c r="H10" s="346"/>
      <c r="I10" s="346"/>
      <c r="J10" s="346"/>
      <c r="K10" s="346"/>
      <c r="L10" s="346"/>
      <c r="N10" s="183"/>
    </row>
    <row r="11" spans="1:14" s="2" customFormat="1">
      <c r="B11" s="158" t="s">
        <v>449</v>
      </c>
      <c r="C11" s="168" t="str">
        <f>'RFPR cover'!$C$14</f>
        <v>£m 09/10</v>
      </c>
      <c r="D11" s="575">
        <v>94.867572674081416</v>
      </c>
      <c r="E11" s="575">
        <v>107.32395023965394</v>
      </c>
      <c r="F11" s="575">
        <v>117.68156233117602</v>
      </c>
      <c r="G11" s="575">
        <v>128.4084006791667</v>
      </c>
      <c r="H11" s="575">
        <v>138.31724479594911</v>
      </c>
      <c r="I11" s="575">
        <v>152.08614270900932</v>
      </c>
      <c r="J11" s="575">
        <v>154.77335393325794</v>
      </c>
      <c r="K11" s="575">
        <v>155.5995546496612</v>
      </c>
      <c r="N11" s="94"/>
    </row>
    <row r="12" spans="1:14" s="2" customFormat="1">
      <c r="N12" s="94"/>
    </row>
    <row r="13" spans="1:14" s="2" customFormat="1">
      <c r="B13" s="5" t="s">
        <v>450</v>
      </c>
      <c r="C13" s="1"/>
      <c r="D13" s="1"/>
      <c r="E13" s="1"/>
      <c r="F13" s="1"/>
      <c r="G13" s="1"/>
      <c r="H13" s="1"/>
      <c r="I13" s="1"/>
      <c r="J13" s="1"/>
      <c r="K13" s="1"/>
      <c r="N13" s="94"/>
    </row>
    <row r="14" spans="1:14" s="2" customFormat="1">
      <c r="B14" s="300" t="s">
        <v>451</v>
      </c>
      <c r="C14" s="269"/>
      <c r="D14" s="269"/>
      <c r="E14" s="269"/>
      <c r="F14" s="269"/>
      <c r="G14" s="269"/>
      <c r="H14" s="269"/>
      <c r="I14" s="269"/>
      <c r="J14" s="269"/>
      <c r="K14" s="269"/>
      <c r="L14" s="245"/>
      <c r="N14" s="94"/>
    </row>
    <row r="15" spans="1:14" s="21" customFormat="1">
      <c r="B15" s="346"/>
      <c r="C15" s="268"/>
      <c r="D15" s="268"/>
      <c r="E15" s="268"/>
      <c r="F15" s="268"/>
      <c r="G15" s="268"/>
      <c r="H15" s="268"/>
      <c r="I15" s="268"/>
      <c r="J15" s="268"/>
      <c r="K15" s="268"/>
      <c r="N15" s="183"/>
    </row>
    <row r="16" spans="1:14" s="2" customFormat="1">
      <c r="B16" s="316" t="s">
        <v>452</v>
      </c>
      <c r="C16" s="168" t="str">
        <f>'RFPR cover'!$C$14</f>
        <v>£m 09/10</v>
      </c>
      <c r="D16" s="575">
        <v>74.160747515587701</v>
      </c>
      <c r="E16" s="576">
        <f>D29</f>
        <v>93.402762652540744</v>
      </c>
      <c r="F16" s="576">
        <f t="shared" ref="F16:K16" si="1">E29</f>
        <v>105.30158914950282</v>
      </c>
      <c r="G16" s="576">
        <f t="shared" si="1"/>
        <v>115.3915881354153</v>
      </c>
      <c r="H16" s="576">
        <f t="shared" si="1"/>
        <v>127.59221369861372</v>
      </c>
      <c r="I16" s="576">
        <f t="shared" si="1"/>
        <v>138.02705247967782</v>
      </c>
      <c r="J16" s="576">
        <f t="shared" si="1"/>
        <v>151.77714441207496</v>
      </c>
      <c r="K16" s="483">
        <f t="shared" si="1"/>
        <v>159.02029772124905</v>
      </c>
      <c r="N16" s="94"/>
    </row>
    <row r="17" spans="2:14" s="2" customFormat="1">
      <c r="B17" s="316" t="s">
        <v>453</v>
      </c>
      <c r="C17" s="168" t="str">
        <f>'RFPR cover'!$C$14</f>
        <v>£m 09/10</v>
      </c>
      <c r="D17" s="763">
        <v>0</v>
      </c>
      <c r="E17" s="763">
        <v>0</v>
      </c>
      <c r="F17" s="763">
        <v>0</v>
      </c>
      <c r="G17" s="763">
        <v>0</v>
      </c>
      <c r="H17" s="763">
        <v>0</v>
      </c>
      <c r="I17" s="763">
        <v>0</v>
      </c>
      <c r="J17" s="763">
        <v>0</v>
      </c>
      <c r="K17" s="763">
        <v>0</v>
      </c>
      <c r="N17" s="94"/>
    </row>
    <row r="18" spans="2:14" s="2" customFormat="1">
      <c r="B18" s="5" t="s">
        <v>454</v>
      </c>
      <c r="C18" s="168" t="str">
        <f>'RFPR cover'!$C$14</f>
        <v>£m 09/10</v>
      </c>
      <c r="D18" s="577">
        <f>SUM(D16:D17)</f>
        <v>74.160747515587701</v>
      </c>
      <c r="E18" s="578">
        <f t="shared" ref="E18:K18" si="2">SUM(E16:E17)</f>
        <v>93.402762652540744</v>
      </c>
      <c r="F18" s="578">
        <f t="shared" si="2"/>
        <v>105.30158914950282</v>
      </c>
      <c r="G18" s="578">
        <f t="shared" si="2"/>
        <v>115.3915881354153</v>
      </c>
      <c r="H18" s="578">
        <f t="shared" si="2"/>
        <v>127.59221369861372</v>
      </c>
      <c r="I18" s="578">
        <f t="shared" si="2"/>
        <v>138.02705247967782</v>
      </c>
      <c r="J18" s="578">
        <f t="shared" si="2"/>
        <v>151.77714441207496</v>
      </c>
      <c r="K18" s="579">
        <f t="shared" si="2"/>
        <v>159.02029772124905</v>
      </c>
      <c r="N18" s="94"/>
    </row>
    <row r="19" spans="2:14" s="2" customFormat="1">
      <c r="B19" s="318" t="s">
        <v>455</v>
      </c>
      <c r="C19" s="168" t="str">
        <f>'RFPR cover'!$C$14</f>
        <v>£m 09/10</v>
      </c>
      <c r="D19" s="575">
        <v>36.353870131882168</v>
      </c>
      <c r="E19" s="575">
        <v>31.837657449556602</v>
      </c>
      <c r="F19" s="575">
        <v>32.881938063757588</v>
      </c>
      <c r="G19" s="575">
        <v>36.119761566707382</v>
      </c>
      <c r="H19" s="575">
        <v>38.995844161041546</v>
      </c>
      <c r="I19" s="575">
        <v>45.915866731316534</v>
      </c>
      <c r="J19" s="575">
        <v>41.989536562075592</v>
      </c>
      <c r="K19" s="575">
        <v>42.423913211623876</v>
      </c>
      <c r="N19" s="94"/>
    </row>
    <row r="20" spans="2:14" s="2" customFormat="1">
      <c r="B20" s="318" t="s">
        <v>456</v>
      </c>
      <c r="C20" s="168" t="str">
        <f>'RFPR cover'!$C$14</f>
        <v>£m 09/10</v>
      </c>
      <c r="D20" s="575">
        <v>-1.4665336415649222</v>
      </c>
      <c r="E20" s="575">
        <v>-0.76865103865216611</v>
      </c>
      <c r="F20" s="575">
        <v>-0.58820485680153212</v>
      </c>
      <c r="G20" s="575">
        <v>1.0688002723420098</v>
      </c>
      <c r="H20" s="575">
        <v>0.27384099330628686</v>
      </c>
      <c r="I20" s="763">
        <v>-0.22885978383153116</v>
      </c>
      <c r="J20" s="575">
        <v>0.86915205262472739</v>
      </c>
      <c r="K20" s="575">
        <v>0.67114370301812443</v>
      </c>
      <c r="N20" s="94"/>
    </row>
    <row r="21" spans="2:14" s="2" customFormat="1">
      <c r="B21" s="317" t="s">
        <v>457</v>
      </c>
      <c r="C21" s="168" t="str">
        <f>'RFPR cover'!$C$14</f>
        <v>£m 09/10</v>
      </c>
      <c r="D21" s="577">
        <f t="shared" ref="D21:K21" si="3">SUM(D19:D20)</f>
        <v>34.887336490317246</v>
      </c>
      <c r="E21" s="578">
        <f t="shared" si="3"/>
        <v>31.069006410904436</v>
      </c>
      <c r="F21" s="578">
        <f t="shared" si="3"/>
        <v>32.293733206956055</v>
      </c>
      <c r="G21" s="578">
        <f t="shared" si="3"/>
        <v>37.188561839049392</v>
      </c>
      <c r="H21" s="578">
        <f t="shared" si="3"/>
        <v>39.269685154347833</v>
      </c>
      <c r="I21" s="578">
        <f t="shared" si="3"/>
        <v>45.687006947485003</v>
      </c>
      <c r="J21" s="578">
        <f t="shared" si="3"/>
        <v>42.85868861470032</v>
      </c>
      <c r="K21" s="579">
        <f t="shared" si="3"/>
        <v>43.095056914642001</v>
      </c>
      <c r="N21" s="94"/>
    </row>
    <row r="22" spans="2:14" s="2" customFormat="1">
      <c r="B22" s="318" t="s">
        <v>458</v>
      </c>
      <c r="C22" s="168" t="str">
        <f>'RFPR cover'!$C$14</f>
        <v>£m 09/10</v>
      </c>
      <c r="D22" s="575">
        <v>-15.645321353364194</v>
      </c>
      <c r="E22" s="575">
        <v>-19.37968471988021</v>
      </c>
      <c r="F22" s="575">
        <v>-22.523046318217425</v>
      </c>
      <c r="G22" s="575">
        <v>-25.391277638282205</v>
      </c>
      <c r="H22" s="575">
        <v>-29.085501982523269</v>
      </c>
      <c r="I22" s="575">
        <v>-32.14845048242649</v>
      </c>
      <c r="J22" s="575">
        <v>-35.859765027697932</v>
      </c>
      <c r="K22" s="575">
        <v>-37.72778209519106</v>
      </c>
      <c r="N22" s="94"/>
    </row>
    <row r="23" spans="2:14" s="2" customFormat="1">
      <c r="B23" s="318" t="s">
        <v>459</v>
      </c>
      <c r="C23" s="168" t="str">
        <f>'RFPR cover'!$C$14</f>
        <v>£m 09/10</v>
      </c>
      <c r="D23" s="575">
        <v>0</v>
      </c>
      <c r="E23" s="575">
        <v>0.20950480593784704</v>
      </c>
      <c r="F23" s="575">
        <v>0.31931209717387077</v>
      </c>
      <c r="G23" s="575">
        <v>0.40334136243123453</v>
      </c>
      <c r="H23" s="575">
        <v>0.2506556092395158</v>
      </c>
      <c r="I23" s="575">
        <v>0.21153546733862072</v>
      </c>
      <c r="J23" s="575">
        <v>0.24422972217169558</v>
      </c>
      <c r="K23" s="575">
        <v>0.12006514322530393</v>
      </c>
      <c r="N23" s="94"/>
    </row>
    <row r="24" spans="2:14" s="2" customFormat="1">
      <c r="B24" s="317" t="s">
        <v>460</v>
      </c>
      <c r="C24" s="168" t="str">
        <f>'RFPR cover'!$C$14</f>
        <v>£m 09/10</v>
      </c>
      <c r="D24" s="577">
        <f t="shared" ref="D24:K24" si="4">SUM(D22:D23)</f>
        <v>-15.645321353364194</v>
      </c>
      <c r="E24" s="578">
        <f t="shared" si="4"/>
        <v>-19.170179913942363</v>
      </c>
      <c r="F24" s="578">
        <f t="shared" si="4"/>
        <v>-22.203734221043554</v>
      </c>
      <c r="G24" s="578">
        <f t="shared" si="4"/>
        <v>-24.98793627585097</v>
      </c>
      <c r="H24" s="578">
        <f t="shared" si="4"/>
        <v>-28.834846373283753</v>
      </c>
      <c r="I24" s="578">
        <f t="shared" si="4"/>
        <v>-31.93691501508787</v>
      </c>
      <c r="J24" s="578">
        <f t="shared" si="4"/>
        <v>-35.615535305526237</v>
      </c>
      <c r="K24" s="579">
        <f t="shared" si="4"/>
        <v>-37.607716951965756</v>
      </c>
      <c r="N24" s="94"/>
    </row>
    <row r="25" spans="2:14" s="2" customFormat="1">
      <c r="B25" s="319" t="s">
        <v>461</v>
      </c>
      <c r="C25" s="168" t="str">
        <f>'RFPR cover'!$C$14</f>
        <v>£m 09/10</v>
      </c>
      <c r="D25" s="580"/>
      <c r="E25" s="581"/>
      <c r="F25" s="581"/>
      <c r="G25" s="581"/>
      <c r="H25" s="581"/>
      <c r="I25" s="581"/>
      <c r="J25" s="581"/>
      <c r="K25" s="582"/>
      <c r="N25" s="94"/>
    </row>
    <row r="26" spans="2:14" s="2" customFormat="1">
      <c r="B26" s="319" t="s">
        <v>461</v>
      </c>
      <c r="C26" s="168" t="str">
        <f>'RFPR cover'!$C$14</f>
        <v>£m 09/10</v>
      </c>
      <c r="D26" s="580"/>
      <c r="E26" s="581"/>
      <c r="F26" s="581"/>
      <c r="G26" s="581"/>
      <c r="H26" s="581"/>
      <c r="I26" s="581"/>
      <c r="J26" s="581"/>
      <c r="K26" s="582"/>
      <c r="N26" s="94"/>
    </row>
    <row r="27" spans="2:14" s="2" customFormat="1">
      <c r="B27" s="319" t="s">
        <v>461</v>
      </c>
      <c r="C27" s="168" t="str">
        <f>'RFPR cover'!$C$14</f>
        <v>£m 09/10</v>
      </c>
      <c r="D27" s="580"/>
      <c r="E27" s="581"/>
      <c r="F27" s="581"/>
      <c r="G27" s="581"/>
      <c r="H27" s="581"/>
      <c r="I27" s="581"/>
      <c r="J27" s="581"/>
      <c r="K27" s="582"/>
      <c r="N27" s="94"/>
    </row>
    <row r="28" spans="2:14" s="2" customFormat="1">
      <c r="B28" s="317" t="s">
        <v>462</v>
      </c>
      <c r="C28" s="168" t="str">
        <f>'RFPR cover'!$C$14</f>
        <v>£m 09/10</v>
      </c>
      <c r="D28" s="895">
        <f>SUM(D25:D27)</f>
        <v>0</v>
      </c>
      <c r="E28" s="896">
        <f t="shared" ref="E28:K28" si="5">SUM(E25:E27)</f>
        <v>0</v>
      </c>
      <c r="F28" s="896">
        <f t="shared" si="5"/>
        <v>0</v>
      </c>
      <c r="G28" s="896">
        <f t="shared" si="5"/>
        <v>0</v>
      </c>
      <c r="H28" s="896">
        <f t="shared" si="5"/>
        <v>0</v>
      </c>
      <c r="I28" s="896">
        <f t="shared" si="5"/>
        <v>0</v>
      </c>
      <c r="J28" s="896">
        <f t="shared" si="5"/>
        <v>0</v>
      </c>
      <c r="K28" s="897">
        <f t="shared" si="5"/>
        <v>0</v>
      </c>
      <c r="N28" s="94"/>
    </row>
    <row r="29" spans="2:14" s="2" customFormat="1">
      <c r="B29" s="5" t="s">
        <v>463</v>
      </c>
      <c r="C29" s="168" t="str">
        <f>'RFPR cover'!$C$14</f>
        <v>£m 09/10</v>
      </c>
      <c r="D29" s="583">
        <f>D18+D21+D24+D28</f>
        <v>93.402762652540744</v>
      </c>
      <c r="E29" s="584">
        <f t="shared" ref="E29:K29" si="6">E18+E21+E24+E28</f>
        <v>105.30158914950282</v>
      </c>
      <c r="F29" s="584">
        <f t="shared" si="6"/>
        <v>115.3915881354153</v>
      </c>
      <c r="G29" s="584">
        <f t="shared" si="6"/>
        <v>127.59221369861372</v>
      </c>
      <c r="H29" s="584">
        <f t="shared" si="6"/>
        <v>138.02705247967782</v>
      </c>
      <c r="I29" s="584">
        <f t="shared" si="6"/>
        <v>151.77714441207496</v>
      </c>
      <c r="J29" s="584">
        <f t="shared" si="6"/>
        <v>159.02029772124905</v>
      </c>
      <c r="K29" s="585">
        <f t="shared" si="6"/>
        <v>164.50763768392528</v>
      </c>
      <c r="N29" s="94"/>
    </row>
    <row r="30" spans="2:14" s="2" customFormat="1">
      <c r="B30" s="5"/>
      <c r="C30" s="168"/>
      <c r="D30" s="168"/>
      <c r="E30" s="168"/>
      <c r="F30" s="168"/>
      <c r="G30" s="168"/>
      <c r="H30" s="168"/>
      <c r="I30" s="168"/>
      <c r="J30" s="168"/>
      <c r="K30" s="168"/>
      <c r="L30" s="168"/>
      <c r="N30" s="94"/>
    </row>
    <row r="31" spans="2:14" s="2" customFormat="1">
      <c r="B31" s="5" t="s">
        <v>464</v>
      </c>
      <c r="C31" s="168" t="str">
        <f>'RFPR cover'!$C$14</f>
        <v>£m 09/10</v>
      </c>
      <c r="D31" s="583">
        <f t="shared" ref="D31:K31" si="7">(D20+D23+D28)</f>
        <v>-1.4665336415649222</v>
      </c>
      <c r="E31" s="583">
        <f t="shared" si="7"/>
        <v>-0.55914623271431907</v>
      </c>
      <c r="F31" s="583">
        <f t="shared" si="7"/>
        <v>-0.26889275962766135</v>
      </c>
      <c r="G31" s="583">
        <f t="shared" si="7"/>
        <v>1.4721416347732443</v>
      </c>
      <c r="H31" s="583">
        <f t="shared" si="7"/>
        <v>0.52449660254580266</v>
      </c>
      <c r="I31" s="583">
        <f t="shared" si="7"/>
        <v>-1.7324316492910441E-2</v>
      </c>
      <c r="J31" s="583">
        <f t="shared" si="7"/>
        <v>1.113381774796423</v>
      </c>
      <c r="K31" s="583">
        <f t="shared" si="7"/>
        <v>0.79120884624342835</v>
      </c>
      <c r="L31" s="168"/>
      <c r="N31" s="94"/>
    </row>
    <row r="32" spans="2:14" s="2" customFormat="1">
      <c r="B32" s="5" t="s">
        <v>465</v>
      </c>
      <c r="C32" s="168"/>
      <c r="D32" s="419" t="str">
        <f>IF(D5="Actuals",IF(ABS((D29-SUM($D$31:D31))-D11)&lt;'RFPR cover'!$F$14,"TRUE","FALSE"),"NA")</f>
        <v>TRUE</v>
      </c>
      <c r="E32" s="419" t="str">
        <f>IF(E5="Actuals",IF(ABS((E29-SUM($D$31:E31))-E11)&lt;'RFPR cover'!$F$14,"TRUE","FALSE"),"NA")</f>
        <v>TRUE</v>
      </c>
      <c r="F32" s="419" t="str">
        <f>IF(F5="Actuals",IF(ABS((F29-SUM($D$31:F31))-F11)&lt;'RFPR cover'!$F$14,"TRUE","FALSE"),"NA")</f>
        <v>TRUE</v>
      </c>
      <c r="G32" s="419" t="str">
        <f>IF(G5="Actuals",IF(ABS((G29-SUM($D$31:G31))-G11)&lt;'RFPR cover'!$F$14,"TRUE","FALSE"),"NA")</f>
        <v>TRUE</v>
      </c>
      <c r="H32" s="419" t="str">
        <f>IF(H5="Actuals",IF(ABS((H29-SUM($D$31:H31))-H11)&lt;'RFPR cover'!$F$14,"TRUE","FALSE"),"NA")</f>
        <v>TRUE</v>
      </c>
      <c r="I32" s="419" t="str">
        <f>IF(I5="Actuals",IF(ABS((I29-SUM($D$31:I31))-I11)&lt;'RFPR cover'!$F$14,"TRUE","FALSE"),"NA")</f>
        <v>TRUE</v>
      </c>
      <c r="J32" s="419" t="str">
        <f>IF(J5="Actuals",IF(ABS((J29-SUM($D$31:J31))-J11)&lt;'RFPR cover'!$F$14,"TRUE","FALSE"),"NA")</f>
        <v>NA</v>
      </c>
      <c r="K32" s="419" t="str">
        <f>IF(K5="Actuals",IF(ABS((K29-SUM($D$31:K31))-K11)&lt;'RFPR cover'!$F$14,"TRUE","FALSE"),"NA")</f>
        <v>NA</v>
      </c>
      <c r="L32" s="168"/>
      <c r="N32" s="94"/>
    </row>
    <row r="33" spans="2:14" s="21" customFormat="1">
      <c r="B33" s="34"/>
      <c r="C33" s="388"/>
      <c r="D33" s="389"/>
      <c r="E33" s="389"/>
      <c r="F33" s="389"/>
      <c r="G33" s="389"/>
      <c r="H33" s="389"/>
      <c r="I33" s="389"/>
      <c r="J33" s="389"/>
      <c r="K33" s="389"/>
      <c r="N33" s="183"/>
    </row>
    <row r="34" spans="2:14" s="21" customFormat="1">
      <c r="B34" s="34" t="s">
        <v>31</v>
      </c>
      <c r="C34" s="221" t="s">
        <v>296</v>
      </c>
      <c r="D34" s="85">
        <f>Data!C$35</f>
        <v>1.1829890576408812</v>
      </c>
      <c r="E34" s="85">
        <f>Data!D$35</f>
        <v>1.1936487043894572</v>
      </c>
      <c r="F34" s="85">
        <f>Data!E$35</f>
        <v>1.2107968317676012</v>
      </c>
      <c r="G34" s="85">
        <f>Data!F$35</f>
        <v>1.2511181042513455</v>
      </c>
      <c r="H34" s="85">
        <f>Data!G$35</f>
        <v>1.2930614968924812</v>
      </c>
      <c r="I34" s="85">
        <f>Data!H$35</f>
        <v>1.3285164089040491</v>
      </c>
      <c r="J34" s="85">
        <f>Data!I$35</f>
        <v>1.3560924515797135</v>
      </c>
      <c r="K34" s="85">
        <f>Data!J$35</f>
        <v>1.3791460232565684</v>
      </c>
      <c r="N34" s="183"/>
    </row>
    <row r="35" spans="2:14" s="18" customFormat="1">
      <c r="B35" s="23" t="s">
        <v>45</v>
      </c>
      <c r="C35" s="221" t="s">
        <v>296</v>
      </c>
      <c r="D35" s="85">
        <f>Data!C$34</f>
        <v>1.1666890673736021</v>
      </c>
      <c r="E35" s="86">
        <f>Data!D$34</f>
        <v>1.1895563269638081</v>
      </c>
      <c r="F35" s="86">
        <f>Data!E$34</f>
        <v>1.2023757108362261</v>
      </c>
      <c r="G35" s="86">
        <f>Data!F$34</f>
        <v>1.2281396135646323</v>
      </c>
      <c r="H35" s="86">
        <f>Data!G$34</f>
        <v>1.2740965949380583</v>
      </c>
      <c r="I35" s="86">
        <f>Data!H$34</f>
        <v>1.3130274787154661</v>
      </c>
      <c r="J35" s="86">
        <f>Data!I$34</f>
        <v>1.3470178479563604</v>
      </c>
      <c r="K35" s="87">
        <f>Data!J$34</f>
        <v>1.3699171513716184</v>
      </c>
      <c r="L35" s="192"/>
      <c r="N35" s="170"/>
    </row>
    <row r="36" spans="2:14" s="18" customFormat="1">
      <c r="B36" s="130" t="s">
        <v>466</v>
      </c>
      <c r="C36" s="221" t="s">
        <v>296</v>
      </c>
      <c r="D36" s="942">
        <f>INDEX(Data!$F$14:$F$30,MATCH($D$6-1,Data!$C$14:$C$30,0),0)/IF('RFPR cover'!$C$6="ED1",Data!$E$17,Data!$E$14)</f>
        <v>1.1544860891609932</v>
      </c>
      <c r="E36" s="695"/>
      <c r="F36" s="695"/>
      <c r="G36" s="695"/>
      <c r="H36" s="695"/>
      <c r="I36" s="695"/>
      <c r="J36" s="695"/>
      <c r="K36" s="695"/>
      <c r="L36" s="192"/>
      <c r="N36" s="170"/>
    </row>
    <row r="37" spans="2:14" s="21" customFormat="1">
      <c r="B37" s="34"/>
      <c r="C37" s="388"/>
      <c r="D37" s="389"/>
      <c r="E37" s="389"/>
      <c r="F37" s="389"/>
      <c r="G37" s="389"/>
      <c r="H37" s="389"/>
      <c r="I37" s="389"/>
      <c r="J37" s="389"/>
      <c r="K37" s="389"/>
      <c r="N37" s="183"/>
    </row>
    <row r="38" spans="2:14" s="2" customFormat="1">
      <c r="B38" s="5" t="s">
        <v>463</v>
      </c>
      <c r="C38" s="220" t="s">
        <v>297</v>
      </c>
      <c r="D38" s="583">
        <f t="shared" ref="D38:K38" si="8">D29*D34</f>
        <v>110.49444617138407</v>
      </c>
      <c r="E38" s="583">
        <f t="shared" si="8"/>
        <v>125.69310545845497</v>
      </c>
      <c r="F38" s="583">
        <f t="shared" si="8"/>
        <v>139.71576932699278</v>
      </c>
      <c r="G38" s="583">
        <f t="shared" si="8"/>
        <v>159.63292851984215</v>
      </c>
      <c r="H38" s="583">
        <f t="shared" si="8"/>
        <v>178.47746709102927</v>
      </c>
      <c r="I38" s="583">
        <f t="shared" si="8"/>
        <v>201.63842684804109</v>
      </c>
      <c r="J38" s="583">
        <f t="shared" si="8"/>
        <v>215.64622538774455</v>
      </c>
      <c r="K38" s="583">
        <f t="shared" si="8"/>
        <v>226.88005430711794</v>
      </c>
      <c r="N38" s="94"/>
    </row>
    <row r="39" spans="2:14" s="2" customFormat="1">
      <c r="B39" s="5"/>
      <c r="C39" s="168"/>
      <c r="D39" s="168"/>
      <c r="E39" s="168"/>
      <c r="F39" s="168"/>
      <c r="G39" s="168"/>
      <c r="H39" s="168"/>
      <c r="I39" s="168"/>
      <c r="J39" s="168"/>
      <c r="K39" s="168"/>
      <c r="N39" s="94"/>
    </row>
    <row r="40" spans="2:14" s="2" customFormat="1">
      <c r="B40" s="410" t="s">
        <v>467</v>
      </c>
      <c r="C40" s="168" t="s">
        <v>468</v>
      </c>
      <c r="D40" s="329">
        <f>INDEX(Data!$K$73:$T$100,MATCH('RFPR cover'!$C$5,Data!$B$73:$B$100,0),MATCH('R9 - RAV'!D$6,Data!$K$72:$T$72,0))</f>
        <v>2.92E-2</v>
      </c>
      <c r="E40" s="330">
        <f>INDEX(Data!$K$73:$T$100,MATCH('RFPR cover'!$C$5,Data!$B$73:$B$100,0),MATCH('R9 - RAV'!E$6,Data!$K$72:$T$72,0))</f>
        <v>2.7199999999999998E-2</v>
      </c>
      <c r="F40" s="330">
        <f>INDEX(Data!$K$73:$T$100,MATCH('RFPR cover'!$C$5,Data!$B$73:$B$100,0),MATCH('R9 - RAV'!F$6,Data!$K$72:$T$72,0))</f>
        <v>2.5499999999999998E-2</v>
      </c>
      <c r="G40" s="330">
        <f>INDEX(Data!$K$73:$T$100,MATCH('RFPR cover'!$C$5,Data!$B$73:$B$100,0),MATCH('R9 - RAV'!G$6,Data!$K$72:$T$72,0))</f>
        <v>2.3800000000000002E-2</v>
      </c>
      <c r="H40" s="330">
        <f>INDEX(Data!$K$73:$T$100,MATCH('RFPR cover'!$C$5,Data!$B$73:$B$100,0),MATCH('R9 - RAV'!H$6,Data!$K$72:$T$72,0))</f>
        <v>2.2200000000000001E-2</v>
      </c>
      <c r="I40" s="330">
        <f>INDEX(Data!$K$73:$T$100,MATCH('RFPR cover'!$C$5,Data!$B$73:$B$100,0),MATCH('R9 - RAV'!I$6,Data!$K$72:$T$72,0))</f>
        <v>1.9099999999999999E-2</v>
      </c>
      <c r="J40" s="330">
        <f>INDEX(Data!$K$73:$T$100,MATCH('RFPR cover'!$C$5,Data!$B$73:$B$100,0),MATCH('R9 - RAV'!J$6,Data!$K$72:$T$72,0))</f>
        <v>1.5800000000000002E-2</v>
      </c>
      <c r="K40" s="331">
        <f>INDEX(Data!$K$73:$T$100,MATCH('RFPR cover'!$C$5,Data!$B$73:$B$100,0),MATCH('R9 - RAV'!K$6,Data!$K$72:$T$72,0))</f>
        <v>1.09E-2</v>
      </c>
      <c r="N40" s="94"/>
    </row>
    <row r="41" spans="2:14" s="2" customFormat="1">
      <c r="B41" s="410" t="s">
        <v>469</v>
      </c>
      <c r="C41" s="168" t="s">
        <v>468</v>
      </c>
      <c r="D41" s="332">
        <f>'RFPR cover'!$C$10</f>
        <v>7.0000000000000007E-2</v>
      </c>
      <c r="E41" s="333">
        <f>'RFPR cover'!$C$10</f>
        <v>7.0000000000000007E-2</v>
      </c>
      <c r="F41" s="333">
        <f>'RFPR cover'!$C$10</f>
        <v>7.0000000000000007E-2</v>
      </c>
      <c r="G41" s="333">
        <f>'RFPR cover'!$C$10</f>
        <v>7.0000000000000007E-2</v>
      </c>
      <c r="H41" s="333">
        <f>'RFPR cover'!$C$10</f>
        <v>7.0000000000000007E-2</v>
      </c>
      <c r="I41" s="333">
        <f>'RFPR cover'!$C$10</f>
        <v>7.0000000000000007E-2</v>
      </c>
      <c r="J41" s="333">
        <f>'RFPR cover'!$C$10</f>
        <v>7.0000000000000007E-2</v>
      </c>
      <c r="K41" s="334">
        <f>'RFPR cover'!$C$10</f>
        <v>7.0000000000000007E-2</v>
      </c>
      <c r="N41" s="94"/>
    </row>
    <row r="42" spans="2:14" s="2" customFormat="1">
      <c r="B42" s="410" t="s">
        <v>470</v>
      </c>
      <c r="C42" s="168" t="s">
        <v>250</v>
      </c>
      <c r="D42" s="335">
        <f>'RFPR cover'!$C$12</f>
        <v>0.6</v>
      </c>
      <c r="E42" s="336">
        <f>'RFPR cover'!$C$12</f>
        <v>0.6</v>
      </c>
      <c r="F42" s="336">
        <f>'RFPR cover'!$C$12</f>
        <v>0.6</v>
      </c>
      <c r="G42" s="336">
        <f>'RFPR cover'!$C$12</f>
        <v>0.6</v>
      </c>
      <c r="H42" s="336">
        <f>'RFPR cover'!$C$12</f>
        <v>0.6</v>
      </c>
      <c r="I42" s="336">
        <f>'RFPR cover'!$C$12</f>
        <v>0.6</v>
      </c>
      <c r="J42" s="336">
        <f>'RFPR cover'!$C$12</f>
        <v>0.6</v>
      </c>
      <c r="K42" s="337">
        <f>'RFPR cover'!$C$12</f>
        <v>0.6</v>
      </c>
      <c r="N42" s="94"/>
    </row>
    <row r="43" spans="2:14">
      <c r="B43" s="158" t="s">
        <v>471</v>
      </c>
      <c r="C43" s="320" t="s">
        <v>468</v>
      </c>
      <c r="D43" s="326">
        <f t="shared" ref="D43:K43" si="9">D40*D42+D41*(1-D42)</f>
        <v>4.5520000000000005E-2</v>
      </c>
      <c r="E43" s="327">
        <f t="shared" si="9"/>
        <v>4.4319999999999998E-2</v>
      </c>
      <c r="F43" s="327">
        <f t="shared" si="9"/>
        <v>4.3300000000000005E-2</v>
      </c>
      <c r="G43" s="327">
        <f t="shared" si="9"/>
        <v>4.2280000000000005E-2</v>
      </c>
      <c r="H43" s="327">
        <f t="shared" si="9"/>
        <v>4.1320000000000003E-2</v>
      </c>
      <c r="I43" s="327">
        <f t="shared" si="9"/>
        <v>3.9460000000000002E-2</v>
      </c>
      <c r="J43" s="327">
        <f t="shared" si="9"/>
        <v>3.7480000000000006E-2</v>
      </c>
      <c r="K43" s="328">
        <f t="shared" si="9"/>
        <v>3.4540000000000001E-2</v>
      </c>
      <c r="L43" s="169"/>
    </row>
    <row r="44" spans="2:14">
      <c r="C44" s="181"/>
      <c r="D44" s="176"/>
      <c r="E44" s="176"/>
      <c r="F44" s="176"/>
      <c r="G44" s="176"/>
      <c r="H44" s="176"/>
      <c r="I44" s="176"/>
      <c r="J44" s="176"/>
      <c r="K44" s="176"/>
    </row>
    <row r="45" spans="2:14">
      <c r="B45" s="303" t="s">
        <v>472</v>
      </c>
      <c r="C45" s="320" t="str">
        <f>'RFPR cover'!$C$14</f>
        <v>£m 09/10</v>
      </c>
      <c r="D45" s="68">
        <f t="shared" ref="D45:K45" si="10">D47*D42</f>
        <v>49.049078179768351</v>
      </c>
      <c r="E45" s="69">
        <f t="shared" si="10"/>
        <v>58.270634166578496</v>
      </c>
      <c r="F45" s="69">
        <f t="shared" si="10"/>
        <v>64.771226711902116</v>
      </c>
      <c r="G45" s="69">
        <f t="shared" si="10"/>
        <v>71.342410344742589</v>
      </c>
      <c r="H45" s="69">
        <f t="shared" si="10"/>
        <v>78.042689024022849</v>
      </c>
      <c r="I45" s="69">
        <f t="shared" si="10"/>
        <v>85.212729027360609</v>
      </c>
      <c r="J45" s="69">
        <f t="shared" si="10"/>
        <v>91.515802571390836</v>
      </c>
      <c r="K45" s="70">
        <f t="shared" si="10"/>
        <v>95.410664591547814</v>
      </c>
    </row>
    <row r="46" spans="2:14">
      <c r="B46" s="303" t="s">
        <v>266</v>
      </c>
      <c r="C46" s="320" t="str">
        <f>'RFPR cover'!$C$14</f>
        <v>£m 09/10</v>
      </c>
      <c r="D46" s="423">
        <f t="shared" ref="D46:K46" si="11">D47*(1-D42)</f>
        <v>32.699385453178898</v>
      </c>
      <c r="E46" s="424">
        <f t="shared" si="11"/>
        <v>38.847089444385666</v>
      </c>
      <c r="F46" s="424">
        <f t="shared" si="11"/>
        <v>43.180817807934744</v>
      </c>
      <c r="G46" s="424">
        <f t="shared" si="11"/>
        <v>47.561606896495064</v>
      </c>
      <c r="H46" s="424">
        <f t="shared" si="11"/>
        <v>52.028459349348566</v>
      </c>
      <c r="I46" s="424">
        <f t="shared" si="11"/>
        <v>56.808486018240416</v>
      </c>
      <c r="J46" s="424">
        <f t="shared" si="11"/>
        <v>61.010535047593898</v>
      </c>
      <c r="K46" s="425">
        <f t="shared" si="11"/>
        <v>63.60710972769855</v>
      </c>
    </row>
    <row r="47" spans="2:14">
      <c r="B47" s="158" t="s">
        <v>473</v>
      </c>
      <c r="C47" s="168" t="str">
        <f>'RFPR cover'!$C$14</f>
        <v>£m 09/10</v>
      </c>
      <c r="D47" s="75">
        <f t="shared" ref="D47:K47" si="12">AVERAGE(D16,D29*(1/(1+D43)))</f>
        <v>81.748463632947249</v>
      </c>
      <c r="E47" s="76">
        <f t="shared" si="12"/>
        <v>97.117723610964163</v>
      </c>
      <c r="F47" s="76">
        <f t="shared" si="12"/>
        <v>107.95204451983686</v>
      </c>
      <c r="G47" s="76">
        <f t="shared" si="12"/>
        <v>118.90401724123765</v>
      </c>
      <c r="H47" s="76">
        <f t="shared" si="12"/>
        <v>130.07114837337141</v>
      </c>
      <c r="I47" s="76">
        <f t="shared" si="12"/>
        <v>142.02121504560102</v>
      </c>
      <c r="J47" s="76">
        <f t="shared" si="12"/>
        <v>152.52633761898474</v>
      </c>
      <c r="K47" s="77">
        <f t="shared" si="12"/>
        <v>159.01777431924637</v>
      </c>
      <c r="N47" s="172"/>
    </row>
    <row r="48" spans="2:14">
      <c r="B48" s="158"/>
      <c r="C48" s="168"/>
      <c r="D48" s="168"/>
      <c r="E48" s="168"/>
      <c r="F48" s="168"/>
      <c r="G48" s="168"/>
      <c r="H48" s="168"/>
      <c r="I48" s="168"/>
      <c r="J48" s="168"/>
      <c r="K48" s="168"/>
      <c r="N48" s="172"/>
    </row>
    <row r="49" spans="2:14">
      <c r="B49" s="303" t="s">
        <v>474</v>
      </c>
      <c r="C49" s="320" t="str">
        <f>'RFPR cover'!$C$14</f>
        <v>£m 09/10</v>
      </c>
      <c r="D49" s="898">
        <f>D40*D45</f>
        <v>1.4322330828492358</v>
      </c>
      <c r="E49" s="899">
        <f t="shared" ref="D49:K50" si="13">E40*E45</f>
        <v>1.5849612493309351</v>
      </c>
      <c r="F49" s="899">
        <f t="shared" si="13"/>
        <v>1.6516662811535039</v>
      </c>
      <c r="G49" s="899">
        <f t="shared" si="13"/>
        <v>1.6979493662048737</v>
      </c>
      <c r="H49" s="899">
        <f t="shared" si="13"/>
        <v>1.7325476963333073</v>
      </c>
      <c r="I49" s="899">
        <f t="shared" si="13"/>
        <v>1.6275631244225874</v>
      </c>
      <c r="J49" s="899">
        <f t="shared" si="13"/>
        <v>1.4459496806279752</v>
      </c>
      <c r="K49" s="900">
        <f t="shared" si="13"/>
        <v>1.0399762440478713</v>
      </c>
    </row>
    <row r="50" spans="2:14">
      <c r="B50" s="303" t="s">
        <v>475</v>
      </c>
      <c r="C50" s="320" t="str">
        <f>'RFPR cover'!$C$14</f>
        <v>£m 09/10</v>
      </c>
      <c r="D50" s="65">
        <f t="shared" si="13"/>
        <v>2.288956981722523</v>
      </c>
      <c r="E50" s="66">
        <f t="shared" si="13"/>
        <v>2.7192962611069968</v>
      </c>
      <c r="F50" s="66">
        <f t="shared" si="13"/>
        <v>3.0226572465554322</v>
      </c>
      <c r="G50" s="66">
        <f t="shared" si="13"/>
        <v>3.3293124827546547</v>
      </c>
      <c r="H50" s="66">
        <f t="shared" si="13"/>
        <v>3.6419921544544001</v>
      </c>
      <c r="I50" s="66">
        <f t="shared" si="13"/>
        <v>3.9765940212768296</v>
      </c>
      <c r="J50" s="66">
        <f t="shared" si="13"/>
        <v>4.2707374533315736</v>
      </c>
      <c r="K50" s="67">
        <f t="shared" si="13"/>
        <v>4.4524976809388992</v>
      </c>
      <c r="N50" s="172"/>
    </row>
    <row r="51" spans="2:14">
      <c r="B51" s="158" t="s">
        <v>476</v>
      </c>
      <c r="C51" s="320" t="str">
        <f>'RFPR cover'!$C$14</f>
        <v>£m 09/10</v>
      </c>
      <c r="D51" s="75">
        <f>SUM(D49:D50)</f>
        <v>3.7211900645717586</v>
      </c>
      <c r="E51" s="76">
        <f t="shared" ref="E51:K51" si="14">SUM(E49:E50)</f>
        <v>4.3042575104379317</v>
      </c>
      <c r="F51" s="76">
        <f t="shared" si="14"/>
        <v>4.6743235277089363</v>
      </c>
      <c r="G51" s="76">
        <f t="shared" si="14"/>
        <v>5.0272618489595287</v>
      </c>
      <c r="H51" s="76">
        <f t="shared" si="14"/>
        <v>5.3745398507877074</v>
      </c>
      <c r="I51" s="76">
        <f t="shared" si="14"/>
        <v>5.6041571456994168</v>
      </c>
      <c r="J51" s="76">
        <f t="shared" si="14"/>
        <v>5.7166871339595486</v>
      </c>
      <c r="K51" s="77">
        <f t="shared" si="14"/>
        <v>5.4924739249867702</v>
      </c>
      <c r="N51" s="172"/>
    </row>
    <row r="53" spans="2:14" s="18" customFormat="1">
      <c r="B53" s="303" t="s">
        <v>472</v>
      </c>
      <c r="C53" s="220" t="s">
        <v>297</v>
      </c>
      <c r="D53" s="68">
        <f t="shared" ref="D53:K54" si="15">D$35*D45</f>
        <v>57.225023277088837</v>
      </c>
      <c r="E53" s="69">
        <f t="shared" si="15"/>
        <v>69.316201549046895</v>
      </c>
      <c r="F53" s="69">
        <f t="shared" si="15"/>
        <v>77.879349759457668</v>
      </c>
      <c r="G53" s="69">
        <f t="shared" si="15"/>
        <v>87.618440271561596</v>
      </c>
      <c r="H53" s="69">
        <f t="shared" si="15"/>
        <v>99.43392434531728</v>
      </c>
      <c r="I53" s="69">
        <f t="shared" si="15"/>
        <v>111.88665474925951</v>
      </c>
      <c r="J53" s="69">
        <f t="shared" si="15"/>
        <v>123.27341943371404</v>
      </c>
      <c r="K53" s="70">
        <f t="shared" si="15"/>
        <v>130.70470584772613</v>
      </c>
      <c r="L53" s="192"/>
      <c r="N53" s="170"/>
    </row>
    <row r="54" spans="2:14" s="18" customFormat="1">
      <c r="B54" s="303" t="s">
        <v>266</v>
      </c>
      <c r="C54" s="220" t="s">
        <v>297</v>
      </c>
      <c r="D54" s="423">
        <f t="shared" si="15"/>
        <v>38.15001551805922</v>
      </c>
      <c r="E54" s="424">
        <f t="shared" si="15"/>
        <v>46.210801032697937</v>
      </c>
      <c r="F54" s="424">
        <f t="shared" si="15"/>
        <v>51.919566506305109</v>
      </c>
      <c r="G54" s="424">
        <f t="shared" si="15"/>
        <v>58.412293514374397</v>
      </c>
      <c r="H54" s="424">
        <f t="shared" si="15"/>
        <v>66.289282896878191</v>
      </c>
      <c r="I54" s="424">
        <f t="shared" si="15"/>
        <v>74.591103166173028</v>
      </c>
      <c r="J54" s="424">
        <f t="shared" si="15"/>
        <v>82.182279622476031</v>
      </c>
      <c r="K54" s="425">
        <f t="shared" si="15"/>
        <v>87.136470565150759</v>
      </c>
      <c r="L54" s="192"/>
      <c r="N54" s="170"/>
    </row>
    <row r="55" spans="2:14">
      <c r="B55" s="158" t="s">
        <v>477</v>
      </c>
      <c r="C55" s="220" t="s">
        <v>297</v>
      </c>
      <c r="D55" s="586">
        <f>SUM(D53:D54)</f>
        <v>95.375038795148058</v>
      </c>
      <c r="E55" s="587">
        <f t="shared" ref="E55:K55" si="16">SUM(E53:E54)</f>
        <v>115.52700258174482</v>
      </c>
      <c r="F55" s="587">
        <f t="shared" si="16"/>
        <v>129.79891626576278</v>
      </c>
      <c r="G55" s="587">
        <f t="shared" si="16"/>
        <v>146.03073378593598</v>
      </c>
      <c r="H55" s="587">
        <f t="shared" si="16"/>
        <v>165.72320724219549</v>
      </c>
      <c r="I55" s="587">
        <f t="shared" si="16"/>
        <v>186.47775791543253</v>
      </c>
      <c r="J55" s="587">
        <f t="shared" si="16"/>
        <v>205.45569905619007</v>
      </c>
      <c r="K55" s="588">
        <f t="shared" si="16"/>
        <v>217.84117641287691</v>
      </c>
    </row>
    <row r="56" spans="2:14" s="18" customFormat="1">
      <c r="B56" s="158"/>
      <c r="C56" s="168"/>
      <c r="D56" s="168"/>
      <c r="E56" s="168"/>
      <c r="F56" s="168"/>
      <c r="G56" s="168"/>
      <c r="H56" s="168"/>
      <c r="I56" s="168"/>
      <c r="J56" s="168"/>
      <c r="K56" s="168"/>
      <c r="L56" s="192"/>
      <c r="N56" s="170"/>
    </row>
    <row r="57" spans="2:14" s="18" customFormat="1">
      <c r="B57" s="303" t="s">
        <v>474</v>
      </c>
      <c r="C57" s="220" t="s">
        <v>297</v>
      </c>
      <c r="D57" s="68">
        <f t="shared" ref="D57:K58" si="17">D$35*D49</f>
        <v>1.670970679690994</v>
      </c>
      <c r="E57" s="69">
        <f t="shared" si="17"/>
        <v>1.8854006821340756</v>
      </c>
      <c r="F57" s="69">
        <f t="shared" si="17"/>
        <v>1.9859234188661703</v>
      </c>
      <c r="G57" s="69">
        <f t="shared" si="17"/>
        <v>2.0853188784631658</v>
      </c>
      <c r="H57" s="69">
        <f t="shared" si="17"/>
        <v>2.2074331204660438</v>
      </c>
      <c r="I57" s="69">
        <f t="shared" si="17"/>
        <v>2.1370351057108565</v>
      </c>
      <c r="J57" s="69">
        <f t="shared" si="17"/>
        <v>1.9477200270526818</v>
      </c>
      <c r="K57" s="70">
        <f t="shared" si="17"/>
        <v>1.4246812937402149</v>
      </c>
      <c r="L57" s="192"/>
      <c r="N57" s="170"/>
    </row>
    <row r="58" spans="2:14">
      <c r="B58" s="303" t="s">
        <v>478</v>
      </c>
      <c r="C58" s="220" t="s">
        <v>297</v>
      </c>
      <c r="D58" s="589">
        <f t="shared" si="17"/>
        <v>2.6705010862641458</v>
      </c>
      <c r="E58" s="590">
        <f t="shared" si="17"/>
        <v>3.2347560722888558</v>
      </c>
      <c r="F58" s="590">
        <f t="shared" si="17"/>
        <v>3.6343696554413576</v>
      </c>
      <c r="G58" s="590">
        <f t="shared" si="17"/>
        <v>4.0888605460062086</v>
      </c>
      <c r="H58" s="590">
        <f t="shared" si="17"/>
        <v>4.640249802781474</v>
      </c>
      <c r="I58" s="590">
        <f t="shared" si="17"/>
        <v>5.2213772216321122</v>
      </c>
      <c r="J58" s="590">
        <f t="shared" si="17"/>
        <v>5.7527595735733232</v>
      </c>
      <c r="K58" s="591">
        <f t="shared" si="17"/>
        <v>6.0995529395605539</v>
      </c>
    </row>
    <row r="59" spans="2:14">
      <c r="B59" s="158" t="s">
        <v>476</v>
      </c>
      <c r="C59" s="220" t="s">
        <v>297</v>
      </c>
      <c r="D59" s="75">
        <f t="shared" ref="D59:K59" si="18">SUM(D57:D58)</f>
        <v>4.3414717659551396</v>
      </c>
      <c r="E59" s="76">
        <f t="shared" si="18"/>
        <v>5.1201567544229309</v>
      </c>
      <c r="F59" s="76">
        <f t="shared" si="18"/>
        <v>5.6202930743075274</v>
      </c>
      <c r="G59" s="76">
        <f t="shared" si="18"/>
        <v>6.174179424469374</v>
      </c>
      <c r="H59" s="76">
        <f t="shared" si="18"/>
        <v>6.8476829232475183</v>
      </c>
      <c r="I59" s="76">
        <f t="shared" si="18"/>
        <v>7.3584123273429682</v>
      </c>
      <c r="J59" s="76">
        <f t="shared" si="18"/>
        <v>7.7004796006260054</v>
      </c>
      <c r="K59" s="77">
        <f t="shared" si="18"/>
        <v>7.5242342333007688</v>
      </c>
    </row>
    <row r="60" spans="2:14">
      <c r="B60" s="6"/>
      <c r="C60" s="193"/>
      <c r="D60" s="193"/>
      <c r="E60" s="193"/>
      <c r="F60" s="193"/>
      <c r="G60" s="193"/>
      <c r="H60" s="193"/>
      <c r="I60" s="193"/>
      <c r="J60" s="193"/>
      <c r="K60" s="193"/>
    </row>
    <row r="61" spans="2:14">
      <c r="B61" s="6"/>
      <c r="C61" s="193"/>
      <c r="D61" s="193"/>
      <c r="E61" s="193"/>
      <c r="F61" s="193"/>
      <c r="G61" s="193"/>
      <c r="H61" s="193"/>
      <c r="I61" s="193"/>
      <c r="J61" s="193"/>
      <c r="K61" s="193"/>
    </row>
    <row r="62" spans="2:14">
      <c r="B62" s="6"/>
      <c r="C62" s="193"/>
      <c r="D62" s="193"/>
      <c r="E62" s="193"/>
      <c r="F62" s="193"/>
      <c r="G62" s="193"/>
      <c r="H62" s="193"/>
      <c r="I62" s="193"/>
      <c r="J62" s="193"/>
      <c r="K62" s="193"/>
    </row>
    <row r="63" spans="2:14">
      <c r="B63" s="6"/>
      <c r="C63" s="193"/>
      <c r="D63" s="193"/>
      <c r="E63" s="193"/>
      <c r="F63" s="193"/>
      <c r="G63" s="193"/>
      <c r="H63" s="193"/>
      <c r="I63" s="193"/>
      <c r="J63" s="193"/>
      <c r="K63" s="193"/>
    </row>
  </sheetData>
  <sheetProtection algorithmName="SHA-512" hashValue="5eX1rHoxH0eouTQhf0YlaGIWGlAlJkBttO25k5uWSjtW7b+qOnTxV7+Z5P50wwUO8HfqdlDV2mFrSzw3W/MdUA==" saltValue="yaKMLqbhjB9WD1zAe1/Tjg==" spinCount="100000" sheet="1" formatCells="0" formatColumns="0" formatRows="0" insertColumns="0" insertRows="0" insertHyperlinks="0" deleteColumns="0" deleteRows="0" sort="0" autoFilter="0" pivotTables="0"/>
  <conditionalFormatting sqref="D6:K6">
    <cfRule type="expression" dxfId="29" priority="13">
      <formula>AND(D$5="Actuals",E$5="Forecast")</formula>
    </cfRule>
  </conditionalFormatting>
  <conditionalFormatting sqref="D5:K5">
    <cfRule type="expression" dxfId="28"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customProperties>
    <customPr name="EpmWorksheetKeyString_GU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topLeftCell="C1" zoomScale="80" zoomScaleNormal="80" workbookViewId="0">
      <pane ySplit="6" topLeftCell="A7" activePane="bottomLeft" state="frozen"/>
      <selection activeCell="B75" sqref="A1:XFD1048576"/>
      <selection pane="bottomLeft" activeCell="J79" sqref="J79"/>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18" customFormat="1" ht="20.25">
      <c r="A1" s="856" t="s">
        <v>207</v>
      </c>
      <c r="B1" s="732"/>
      <c r="C1" s="211"/>
      <c r="D1" s="211"/>
      <c r="E1" s="211"/>
      <c r="F1" s="211"/>
      <c r="G1" s="211"/>
      <c r="H1" s="211"/>
      <c r="I1" s="212"/>
      <c r="J1" s="212"/>
      <c r="K1" s="213"/>
      <c r="L1" s="876"/>
    </row>
    <row r="2" spans="1:13" s="18" customFormat="1" ht="20.25">
      <c r="A2" s="725" t="str">
        <f>'RFPR cover'!C5</f>
        <v>NGET (SO)</v>
      </c>
      <c r="B2" s="720"/>
      <c r="C2" s="16"/>
      <c r="D2" s="16"/>
      <c r="E2" s="16"/>
      <c r="F2" s="16"/>
      <c r="G2" s="16"/>
      <c r="H2" s="16"/>
      <c r="I2" s="15"/>
      <c r="J2" s="15"/>
      <c r="K2" s="15"/>
      <c r="L2" s="93"/>
    </row>
    <row r="3" spans="1:13" s="18" customFormat="1" ht="20.25">
      <c r="A3" s="728">
        <f>'RFPR cover'!C7</f>
        <v>2020</v>
      </c>
      <c r="B3" s="735"/>
      <c r="C3" s="214"/>
      <c r="D3" s="214"/>
      <c r="E3" s="214"/>
      <c r="F3" s="214"/>
      <c r="G3" s="214"/>
      <c r="H3" s="214"/>
      <c r="I3" s="210"/>
      <c r="J3" s="210"/>
      <c r="K3" s="210"/>
      <c r="L3" s="215"/>
    </row>
    <row r="4" spans="1:13" s="18" customFormat="1" ht="12.75" customHeight="1">
      <c r="A4" s="216"/>
      <c r="B4" s="217"/>
      <c r="C4" s="216"/>
      <c r="D4" s="216"/>
      <c r="E4" s="216"/>
      <c r="F4" s="216"/>
      <c r="G4" s="216"/>
      <c r="H4" s="216"/>
      <c r="I4" s="218"/>
      <c r="J4" s="218"/>
      <c r="K4" s="218"/>
      <c r="L4" s="219"/>
      <c r="M4" s="217"/>
    </row>
    <row r="5" spans="1:13" s="2" customFormat="1">
      <c r="B5" s="3"/>
      <c r="C5" s="3"/>
      <c r="D5" s="313" t="str">
        <f>IF(D6&lt;=('RFPR cover'!$C$7-1),"Actuals","Forecast")</f>
        <v>Actuals</v>
      </c>
      <c r="E5" s="313" t="str">
        <f>IF(E6&lt;=('RFPR cover'!$C$7-1),"Actuals","Forecast")</f>
        <v>Actuals</v>
      </c>
      <c r="F5" s="313" t="str">
        <f>IF(F6&lt;=('RFPR cover'!$C$7-1),"Actuals","Forecast")</f>
        <v>Actuals</v>
      </c>
      <c r="G5" s="313" t="str">
        <f>IF(G6&lt;=('RFPR cover'!$C$7-1),"Actuals","Forecast")</f>
        <v>Actuals</v>
      </c>
      <c r="H5" s="313" t="str">
        <f>IF(H6&lt;=('RFPR cover'!$C$7-1),"Actuals","Forecast")</f>
        <v>Actuals</v>
      </c>
      <c r="I5" s="313" t="str">
        <f>IF(I6&lt;=('RFPR cover'!$C$7-1),"Actuals","Forecast")</f>
        <v>Actuals</v>
      </c>
      <c r="J5" s="313" t="str">
        <f>IF(J6&lt;=('RFPR cover'!$C$7-1),"Actuals","Forecast")</f>
        <v>Forecast</v>
      </c>
      <c r="K5" s="313" t="str">
        <f>IF(K6&lt;=('RFPR cover'!$C$7-1),"Actuals","Forecast")</f>
        <v>Forecast</v>
      </c>
    </row>
    <row r="6" spans="1:13" s="2" customFormat="1">
      <c r="D6" s="90">
        <f>'RFPR cover'!$C$13</f>
        <v>2014</v>
      </c>
      <c r="E6" s="91">
        <f>D6+1</f>
        <v>2015</v>
      </c>
      <c r="F6" s="91">
        <f t="shared" ref="F6:K6" si="0">E6+1</f>
        <v>2016</v>
      </c>
      <c r="G6" s="91">
        <f t="shared" si="0"/>
        <v>2017</v>
      </c>
      <c r="H6" s="91">
        <f t="shared" si="0"/>
        <v>2018</v>
      </c>
      <c r="I6" s="91">
        <f t="shared" si="0"/>
        <v>2019</v>
      </c>
      <c r="J6" s="91">
        <f t="shared" si="0"/>
        <v>2020</v>
      </c>
      <c r="K6" s="154">
        <f t="shared" si="0"/>
        <v>2021</v>
      </c>
    </row>
    <row r="7" spans="1:13" s="21" customFormat="1">
      <c r="D7" s="347"/>
      <c r="E7" s="347"/>
      <c r="F7" s="347"/>
      <c r="G7" s="347"/>
      <c r="H7" s="347"/>
      <c r="I7" s="347"/>
      <c r="J7" s="347"/>
      <c r="K7" s="347"/>
    </row>
    <row r="8" spans="1:13" s="2" customFormat="1">
      <c r="B8" s="300" t="s">
        <v>479</v>
      </c>
      <c r="C8" s="245"/>
      <c r="D8" s="245"/>
      <c r="E8" s="245"/>
      <c r="F8" s="245"/>
      <c r="G8" s="245"/>
      <c r="H8" s="245"/>
      <c r="I8" s="245"/>
      <c r="J8" s="245"/>
      <c r="K8" s="245"/>
      <c r="L8" s="245"/>
    </row>
    <row r="9" spans="1:13" s="2" customFormat="1">
      <c r="B9" s="300" t="s">
        <v>480</v>
      </c>
      <c r="C9" s="245"/>
      <c r="D9" s="245"/>
      <c r="E9" s="245"/>
      <c r="F9" s="245"/>
      <c r="G9" s="245"/>
      <c r="H9" s="245"/>
      <c r="I9" s="245"/>
      <c r="J9" s="245"/>
      <c r="K9" s="245"/>
      <c r="L9" s="245"/>
    </row>
    <row r="10" spans="1:13" s="2" customFormat="1">
      <c r="B10" s="300" t="s">
        <v>481</v>
      </c>
      <c r="C10" s="245"/>
      <c r="D10" s="245"/>
      <c r="E10" s="245"/>
      <c r="F10" s="245"/>
      <c r="G10" s="245"/>
      <c r="H10" s="245"/>
      <c r="I10" s="245"/>
      <c r="J10" s="245"/>
      <c r="K10" s="245"/>
      <c r="L10" s="245"/>
    </row>
    <row r="11" spans="1:13" s="21" customFormat="1">
      <c r="B11" s="346"/>
    </row>
    <row r="12" spans="1:13">
      <c r="B12" s="956" t="s">
        <v>482</v>
      </c>
      <c r="C12" s="220" t="s">
        <v>297</v>
      </c>
      <c r="D12" s="765">
        <v>0</v>
      </c>
      <c r="E12" s="765">
        <v>0</v>
      </c>
      <c r="F12" s="765">
        <v>0</v>
      </c>
      <c r="G12" s="765">
        <v>0</v>
      </c>
      <c r="H12" s="765">
        <v>0</v>
      </c>
      <c r="I12" s="765">
        <v>0</v>
      </c>
      <c r="J12" s="527"/>
      <c r="K12" s="528"/>
    </row>
    <row r="13" spans="1:13">
      <c r="B13" s="6"/>
      <c r="C13" s="6"/>
      <c r="D13" s="592"/>
      <c r="E13" s="592"/>
      <c r="F13" s="592"/>
      <c r="G13" s="592"/>
      <c r="H13" s="592"/>
      <c r="I13" s="592"/>
      <c r="J13" s="592"/>
      <c r="K13" s="592"/>
    </row>
    <row r="14" spans="1:13">
      <c r="B14" s="6" t="s">
        <v>483</v>
      </c>
      <c r="C14" s="220"/>
      <c r="D14" s="592"/>
      <c r="E14" s="592"/>
      <c r="F14" s="592"/>
      <c r="G14" s="592"/>
      <c r="H14" s="592"/>
      <c r="I14" s="592"/>
      <c r="J14" s="592"/>
      <c r="K14" s="592"/>
    </row>
    <row r="15" spans="1:13">
      <c r="B15" s="301" t="s">
        <v>484</v>
      </c>
      <c r="C15" s="220" t="s">
        <v>297</v>
      </c>
      <c r="D15" s="765">
        <v>0</v>
      </c>
      <c r="E15" s="765">
        <v>0</v>
      </c>
      <c r="F15" s="765">
        <v>0</v>
      </c>
      <c r="G15" s="765">
        <v>0</v>
      </c>
      <c r="H15" s="765">
        <v>0</v>
      </c>
      <c r="I15" s="765">
        <v>0</v>
      </c>
      <c r="J15" s="493"/>
      <c r="K15" s="503"/>
    </row>
    <row r="16" spans="1:13">
      <c r="B16" s="348" t="s">
        <v>485</v>
      </c>
      <c r="C16" s="220" t="s">
        <v>297</v>
      </c>
      <c r="D16" s="526"/>
      <c r="E16" s="526"/>
      <c r="F16" s="526"/>
      <c r="G16" s="526"/>
      <c r="H16" s="526"/>
      <c r="I16" s="526"/>
      <c r="J16" s="493"/>
      <c r="K16" s="503"/>
    </row>
    <row r="17" spans="2:12">
      <c r="B17" s="348" t="s">
        <v>485</v>
      </c>
      <c r="C17" s="220" t="s">
        <v>297</v>
      </c>
      <c r="D17" s="526"/>
      <c r="E17" s="526"/>
      <c r="F17" s="526"/>
      <c r="G17" s="526"/>
      <c r="H17" s="526"/>
      <c r="I17" s="526"/>
      <c r="J17" s="493"/>
      <c r="K17" s="503"/>
    </row>
    <row r="18" spans="2:12">
      <c r="B18" s="348" t="s">
        <v>485</v>
      </c>
      <c r="C18" s="220" t="s">
        <v>297</v>
      </c>
      <c r="D18" s="526"/>
      <c r="E18" s="526"/>
      <c r="F18" s="526"/>
      <c r="G18" s="526"/>
      <c r="H18" s="526"/>
      <c r="I18" s="526"/>
      <c r="J18" s="493"/>
      <c r="K18" s="503"/>
    </row>
    <row r="19" spans="2:12">
      <c r="B19" s="222" t="s">
        <v>486</v>
      </c>
      <c r="C19" s="220" t="s">
        <v>297</v>
      </c>
      <c r="D19" s="757">
        <f>SUM(D15:D18)</f>
        <v>0</v>
      </c>
      <c r="E19" s="758">
        <f t="shared" ref="E19:K19" si="1">SUM(E15:E18)</f>
        <v>0</v>
      </c>
      <c r="F19" s="758">
        <f t="shared" si="1"/>
        <v>0</v>
      </c>
      <c r="G19" s="758">
        <f t="shared" si="1"/>
        <v>0</v>
      </c>
      <c r="H19" s="758">
        <f t="shared" si="1"/>
        <v>0</v>
      </c>
      <c r="I19" s="758">
        <f t="shared" si="1"/>
        <v>0</v>
      </c>
      <c r="J19" s="758">
        <f t="shared" si="1"/>
        <v>0</v>
      </c>
      <c r="K19" s="759">
        <f t="shared" si="1"/>
        <v>0</v>
      </c>
    </row>
    <row r="20" spans="2:12" s="18" customFormat="1">
      <c r="B20" s="301"/>
      <c r="C20" s="301"/>
      <c r="D20" s="593"/>
      <c r="E20" s="593"/>
      <c r="F20" s="593"/>
      <c r="G20" s="593"/>
      <c r="H20" s="593"/>
      <c r="I20" s="593"/>
      <c r="J20" s="593"/>
      <c r="K20" s="593"/>
      <c r="L20" s="301"/>
    </row>
    <row r="21" spans="2:12">
      <c r="B21" s="6" t="s">
        <v>462</v>
      </c>
      <c r="C21" s="220"/>
      <c r="D21" s="594"/>
      <c r="E21" s="594"/>
      <c r="F21" s="594"/>
      <c r="G21" s="594"/>
      <c r="H21" s="594"/>
      <c r="I21" s="594"/>
      <c r="J21" s="594"/>
      <c r="K21" s="594"/>
      <c r="L21" s="220"/>
    </row>
    <row r="22" spans="2:12">
      <c r="B22" s="301" t="s">
        <v>487</v>
      </c>
      <c r="C22" s="220" t="s">
        <v>297</v>
      </c>
      <c r="D22" s="923">
        <f>('R5 - Output Incentives'!D102)*INDEX(Data!$G$14:$G$30,MATCH('R10 - Tax'!D$6,Data!$C$14:$C$30,0),1)</f>
        <v>5.1882757265000023</v>
      </c>
      <c r="E22" s="924">
        <f>('R5 - Output Incentives'!E102)*INDEX(Data!$G$14:$G$30,MATCH('R10 - Tax'!E$6,Data!$C$14:$C$30,0),1)</f>
        <v>5.40223967913</v>
      </c>
      <c r="F22" s="924">
        <f>('R5 - Output Incentives'!F102)*INDEX(Data!$G$14:$G$30,MATCH('R10 - Tax'!F$6,Data!$C$14:$C$30,0),1)</f>
        <v>5.9470456</v>
      </c>
      <c r="G22" s="924">
        <f>('R5 - Output Incentives'!G102)*INDEX(Data!$G$14:$G$30,MATCH('R10 - Tax'!G$6,Data!$C$14:$C$30,0),1)</f>
        <v>0.84638932000000178</v>
      </c>
      <c r="H22" s="925">
        <f>('R5 - Output Incentives'!H102)*INDEX(Data!$G$14:$G$30,MATCH('R10 - Tax'!H$6,Data!$C$14:$C$30,0),1)</f>
        <v>1.864069023863216</v>
      </c>
      <c r="I22" s="925">
        <f>('R5 - Output Incentives'!I102)*INDEX(Data!$G$14:$G$30,MATCH('R10 - Tax'!I$6,Data!$C$14:$C$30,0),1)</f>
        <v>0.15303636363636364</v>
      </c>
      <c r="J22" s="925">
        <f>('R5 - Output Incentives'!J102)*INDEX(Data!$G$14:$G$30,MATCH('R10 - Tax'!J$6,Data!$C$14:$C$30,0),1)</f>
        <v>0.40803287484059031</v>
      </c>
      <c r="K22" s="926">
        <f>('R5 - Output Incentives'!K102)*INDEX(Data!$G$14:$G$30,MATCH('R10 - Tax'!K$6,Data!$C$14:$C$30,0),1)</f>
        <v>-0.17880917628422718</v>
      </c>
    </row>
    <row r="23" spans="2:12">
      <c r="B23" s="301" t="s">
        <v>488</v>
      </c>
      <c r="C23" s="220" t="s">
        <v>297</v>
      </c>
      <c r="D23" s="496">
        <f>('R4 - Totex'!D77-'R4 - Totex'!D79)*D39</f>
        <v>0.25014351161348886</v>
      </c>
      <c r="E23" s="498">
        <f>('R4 - Totex'!E77-'R4 - Totex'!E79)*E39</f>
        <v>0.22475068689665781</v>
      </c>
      <c r="F23" s="498">
        <f>('R4 - Totex'!F77-'R4 - Totex'!F79)*F39</f>
        <v>0.21109693776893859</v>
      </c>
      <c r="G23" s="498">
        <f>('R4 - Totex'!G77-'R4 - Totex'!G79)*G39</f>
        <v>0.21426641805594385</v>
      </c>
      <c r="H23" s="689">
        <f>('R4 - Totex'!H77-'R4 - Totex'!H79)*H39</f>
        <v>0.21757024027912286</v>
      </c>
      <c r="I23" s="689">
        <f>('R4 - Totex'!I77-'R4 - Totex'!I79)*I39</f>
        <v>0.20656974953402846</v>
      </c>
      <c r="J23" s="689">
        <f>('R4 - Totex'!J77-'R4 - Totex'!J79)*J39</f>
        <v>0.22629031190150178</v>
      </c>
      <c r="K23" s="690">
        <f>('R4 - Totex'!K77-'R4 - Totex'!K79)*K39</f>
        <v>0.23421006359686583</v>
      </c>
    </row>
    <row r="24" spans="2:12">
      <c r="B24" s="301" t="s">
        <v>489</v>
      </c>
      <c r="C24" s="220" t="s">
        <v>297</v>
      </c>
      <c r="D24" s="765">
        <v>0</v>
      </c>
      <c r="E24" s="765">
        <v>0</v>
      </c>
      <c r="F24" s="765">
        <v>0</v>
      </c>
      <c r="G24" s="765">
        <v>0</v>
      </c>
      <c r="H24" s="765">
        <v>0</v>
      </c>
      <c r="I24" s="765">
        <v>0</v>
      </c>
      <c r="J24" s="495"/>
      <c r="K24" s="504"/>
    </row>
    <row r="25" spans="2:12">
      <c r="B25" s="301" t="s">
        <v>490</v>
      </c>
      <c r="C25" s="220" t="s">
        <v>297</v>
      </c>
      <c r="D25" s="765">
        <v>0</v>
      </c>
      <c r="E25" s="765">
        <v>0</v>
      </c>
      <c r="F25" s="765">
        <v>0</v>
      </c>
      <c r="G25" s="765">
        <v>0</v>
      </c>
      <c r="H25" s="765">
        <v>0</v>
      </c>
      <c r="I25" s="765">
        <v>0</v>
      </c>
      <c r="J25" s="495"/>
      <c r="K25" s="504"/>
    </row>
    <row r="26" spans="2:12">
      <c r="B26" s="301" t="s">
        <v>491</v>
      </c>
      <c r="C26" s="220" t="s">
        <v>297</v>
      </c>
      <c r="D26" s="765">
        <v>0</v>
      </c>
      <c r="E26" s="765">
        <v>0</v>
      </c>
      <c r="F26" s="765">
        <v>0</v>
      </c>
      <c r="G26" s="765">
        <v>0</v>
      </c>
      <c r="H26" s="765">
        <v>0</v>
      </c>
      <c r="I26" s="765">
        <v>0</v>
      </c>
      <c r="J26" s="495"/>
      <c r="K26" s="504"/>
    </row>
    <row r="27" spans="2:12">
      <c r="B27" s="301" t="s">
        <v>492</v>
      </c>
      <c r="C27" s="220" t="s">
        <v>297</v>
      </c>
      <c r="D27" s="765">
        <v>0</v>
      </c>
      <c r="E27" s="765">
        <v>0</v>
      </c>
      <c r="F27" s="765">
        <v>0</v>
      </c>
      <c r="G27" s="765">
        <v>0</v>
      </c>
      <c r="H27" s="765">
        <v>0</v>
      </c>
      <c r="I27" s="765">
        <v>0</v>
      </c>
      <c r="J27" s="495"/>
      <c r="K27" s="504"/>
    </row>
    <row r="28" spans="2:12">
      <c r="B28" s="301" t="s">
        <v>493</v>
      </c>
      <c r="C28" s="220" t="s">
        <v>297</v>
      </c>
      <c r="D28" s="765">
        <v>0</v>
      </c>
      <c r="E28" s="765">
        <v>0</v>
      </c>
      <c r="F28" s="765">
        <v>0</v>
      </c>
      <c r="G28" s="765">
        <v>0</v>
      </c>
      <c r="H28" s="765">
        <v>0</v>
      </c>
      <c r="I28" s="765">
        <v>0</v>
      </c>
      <c r="J28" s="495"/>
      <c r="K28" s="504"/>
    </row>
    <row r="29" spans="2:12">
      <c r="B29" s="348" t="s">
        <v>598</v>
      </c>
      <c r="C29" s="220" t="s">
        <v>297</v>
      </c>
      <c r="D29" s="526">
        <v>-0.25014351161348886</v>
      </c>
      <c r="E29" s="526">
        <v>-0.22475068689665781</v>
      </c>
      <c r="F29" s="526">
        <v>-0.21109693776893859</v>
      </c>
      <c r="G29" s="526">
        <v>-0.21426641805594385</v>
      </c>
      <c r="H29" s="526">
        <v>-0.21757024027912286</v>
      </c>
      <c r="I29" s="526">
        <v>-0.20656974953402846</v>
      </c>
      <c r="J29" s="495"/>
      <c r="K29" s="504"/>
    </row>
    <row r="30" spans="2:12">
      <c r="B30" s="348" t="s">
        <v>599</v>
      </c>
      <c r="C30" s="220" t="s">
        <v>297</v>
      </c>
      <c r="D30" s="526">
        <v>-3.1</v>
      </c>
      <c r="E30" s="526">
        <v>-10.9</v>
      </c>
      <c r="F30" s="526">
        <v>-7.1</v>
      </c>
      <c r="G30" s="526">
        <v>-3.7</v>
      </c>
      <c r="H30" s="526">
        <v>3.3</v>
      </c>
      <c r="I30" s="526">
        <v>2.4</v>
      </c>
      <c r="J30" s="495"/>
      <c r="K30" s="504"/>
    </row>
    <row r="31" spans="2:12">
      <c r="B31" s="348" t="s">
        <v>600</v>
      </c>
      <c r="C31" s="220" t="s">
        <v>297</v>
      </c>
      <c r="D31" s="765">
        <v>0</v>
      </c>
      <c r="E31" s="526">
        <v>-0.21</v>
      </c>
      <c r="F31" s="765">
        <v>0</v>
      </c>
      <c r="G31" s="765">
        <v>0</v>
      </c>
      <c r="H31" s="526">
        <v>0.2</v>
      </c>
      <c r="I31" s="765">
        <v>0</v>
      </c>
      <c r="J31" s="495"/>
      <c r="K31" s="504"/>
    </row>
    <row r="32" spans="2:12">
      <c r="B32" s="348" t="s">
        <v>601</v>
      </c>
      <c r="C32" s="220" t="s">
        <v>297</v>
      </c>
      <c r="D32" s="765">
        <v>0</v>
      </c>
      <c r="E32" s="765">
        <v>0</v>
      </c>
      <c r="F32" s="765">
        <v>0</v>
      </c>
      <c r="G32" s="526">
        <v>-1.2000000000000002</v>
      </c>
      <c r="H32" s="765">
        <v>0</v>
      </c>
      <c r="I32" s="765">
        <v>0</v>
      </c>
      <c r="J32" s="495"/>
      <c r="K32" s="504"/>
    </row>
    <row r="33" spans="2:13">
      <c r="B33" s="348" t="s">
        <v>494</v>
      </c>
      <c r="C33" s="220" t="s">
        <v>297</v>
      </c>
      <c r="D33" s="526"/>
      <c r="E33" s="526"/>
      <c r="F33" s="526"/>
      <c r="G33" s="526"/>
      <c r="H33" s="526"/>
      <c r="I33" s="526"/>
      <c r="J33" s="506"/>
      <c r="K33" s="507"/>
    </row>
    <row r="34" spans="2:13">
      <c r="B34" s="6" t="s">
        <v>328</v>
      </c>
      <c r="C34" s="220" t="s">
        <v>297</v>
      </c>
      <c r="D34" s="595">
        <f t="shared" ref="D34:K34" si="2">SUM(D22:D33)</f>
        <v>2.0882757265000023</v>
      </c>
      <c r="E34" s="596">
        <f t="shared" si="2"/>
        <v>-5.7077603208700003</v>
      </c>
      <c r="F34" s="596">
        <f t="shared" si="2"/>
        <v>-1.1529543999999996</v>
      </c>
      <c r="G34" s="596">
        <f t="shared" si="2"/>
        <v>-4.0536106799999985</v>
      </c>
      <c r="H34" s="596">
        <f t="shared" si="2"/>
        <v>5.364069023863216</v>
      </c>
      <c r="I34" s="596">
        <f t="shared" si="2"/>
        <v>2.5530363636363633</v>
      </c>
      <c r="J34" s="596">
        <f t="shared" si="2"/>
        <v>0.63432318674209209</v>
      </c>
      <c r="K34" s="597">
        <f t="shared" si="2"/>
        <v>5.5400887312638647E-2</v>
      </c>
    </row>
    <row r="36" spans="2:13" ht="12.75" customHeight="1">
      <c r="B36" s="955" t="s">
        <v>495</v>
      </c>
      <c r="C36" s="220" t="s">
        <v>297</v>
      </c>
      <c r="D36" s="526"/>
      <c r="E36" s="526"/>
      <c r="F36" s="527"/>
      <c r="G36" s="527"/>
      <c r="H36" s="527"/>
      <c r="I36" s="765">
        <v>5.25</v>
      </c>
      <c r="J36" s="527">
        <v>5.1326987671891731</v>
      </c>
      <c r="K36" s="527">
        <v>3.6511797512787516</v>
      </c>
    </row>
    <row r="37" spans="2:13" ht="12.75" customHeight="1">
      <c r="B37" s="955" t="s">
        <v>496</v>
      </c>
      <c r="C37" s="220" t="s">
        <v>297</v>
      </c>
      <c r="D37" s="595">
        <f t="shared" ref="D37:K37" si="3">D12+D36-D19-D34</f>
        <v>-2.0882757265000023</v>
      </c>
      <c r="E37" s="596">
        <f>E12+G36-E19-E34</f>
        <v>5.7077603208700003</v>
      </c>
      <c r="F37" s="596">
        <f>F12+F36-F19-F34</f>
        <v>1.1529543999999996</v>
      </c>
      <c r="G37" s="596">
        <f>G12+G36-G19-G34</f>
        <v>4.0536106799999985</v>
      </c>
      <c r="H37" s="596">
        <f t="shared" si="3"/>
        <v>-5.364069023863216</v>
      </c>
      <c r="I37" s="596">
        <f t="shared" si="3"/>
        <v>2.6969636363636367</v>
      </c>
      <c r="J37" s="596">
        <f t="shared" si="3"/>
        <v>4.4983755804470809</v>
      </c>
      <c r="K37" s="597">
        <f t="shared" si="3"/>
        <v>3.595778863966113</v>
      </c>
    </row>
    <row r="38" spans="2:13" ht="12.75" customHeight="1">
      <c r="B38" s="956"/>
      <c r="C38" s="220"/>
      <c r="D38" s="220"/>
      <c r="E38" s="220"/>
      <c r="F38" s="220"/>
      <c r="G38" s="220"/>
      <c r="H38" s="220"/>
      <c r="I38" s="220"/>
      <c r="J38" s="220"/>
      <c r="K38" s="220"/>
    </row>
    <row r="39" spans="2:13">
      <c r="B39" s="23" t="s">
        <v>497</v>
      </c>
      <c r="C39" s="221" t="s">
        <v>296</v>
      </c>
      <c r="D39" s="85">
        <f>Data!C$34</f>
        <v>1.1666890673736021</v>
      </c>
      <c r="E39" s="85">
        <f>Data!D$34</f>
        <v>1.1895563269638081</v>
      </c>
      <c r="F39" s="85">
        <f>Data!E$34</f>
        <v>1.2023757108362261</v>
      </c>
      <c r="G39" s="85">
        <f>Data!F$34</f>
        <v>1.2281396135646323</v>
      </c>
      <c r="H39" s="85">
        <f>Data!G$34</f>
        <v>1.2740965949380583</v>
      </c>
      <c r="I39" s="85">
        <f>Data!H$34</f>
        <v>1.3130274787154661</v>
      </c>
      <c r="J39" s="85">
        <f>Data!I$34</f>
        <v>1.3470178479563604</v>
      </c>
      <c r="K39" s="85">
        <f>Data!J$34</f>
        <v>1.3699171513716184</v>
      </c>
      <c r="L39" s="220"/>
    </row>
    <row r="40" spans="2:13">
      <c r="B40" s="956"/>
      <c r="C40" s="220"/>
      <c r="D40" s="220"/>
      <c r="E40" s="220"/>
      <c r="F40" s="220"/>
      <c r="G40" s="220"/>
      <c r="H40" s="220"/>
      <c r="I40" s="220"/>
      <c r="J40" s="220"/>
      <c r="K40" s="220"/>
    </row>
    <row r="41" spans="2:13">
      <c r="B41" s="955" t="s">
        <v>498</v>
      </c>
      <c r="C41" s="320" t="str">
        <f>'RFPR cover'!$C$14</f>
        <v>£m 09/10</v>
      </c>
      <c r="D41" s="629">
        <f t="shared" ref="D41:K41" si="4">D37/D39</f>
        <v>-1.7899162552375969</v>
      </c>
      <c r="E41" s="630">
        <f t="shared" si="4"/>
        <v>4.7982261886146542</v>
      </c>
      <c r="F41" s="630">
        <f t="shared" si="4"/>
        <v>0.95889694844063755</v>
      </c>
      <c r="G41" s="630">
        <f t="shared" si="4"/>
        <v>3.3006106433083247</v>
      </c>
      <c r="H41" s="630">
        <f t="shared" si="4"/>
        <v>-4.2100960360262141</v>
      </c>
      <c r="I41" s="630">
        <f t="shared" si="4"/>
        <v>2.054003956567668</v>
      </c>
      <c r="J41" s="630">
        <f t="shared" si="4"/>
        <v>3.339507035687634</v>
      </c>
      <c r="K41" s="631">
        <f t="shared" si="4"/>
        <v>2.6248148366971451</v>
      </c>
    </row>
    <row r="42" spans="2:13">
      <c r="B42" s="955"/>
      <c r="C42" s="955"/>
      <c r="D42" s="955"/>
      <c r="E42" s="955"/>
      <c r="F42" s="955"/>
      <c r="G42" s="955"/>
      <c r="H42" s="955"/>
      <c r="I42" s="955"/>
      <c r="J42" s="955"/>
      <c r="K42" s="955"/>
    </row>
    <row r="43" spans="2:13">
      <c r="B43" s="664" t="s">
        <v>499</v>
      </c>
      <c r="C43" s="168"/>
      <c r="D43" s="168"/>
      <c r="E43" s="168"/>
      <c r="F43" s="168"/>
      <c r="G43" s="168"/>
      <c r="H43" s="168"/>
      <c r="I43" s="168"/>
      <c r="J43" s="168"/>
      <c r="K43" s="168"/>
    </row>
    <row r="44" spans="2:13">
      <c r="B44" s="300" t="s">
        <v>396</v>
      </c>
      <c r="C44" s="955"/>
      <c r="D44" s="955"/>
      <c r="E44" s="955"/>
      <c r="F44" s="955"/>
      <c r="G44" s="955"/>
      <c r="H44" s="955"/>
      <c r="I44" s="955"/>
      <c r="J44" s="955"/>
      <c r="K44" s="955"/>
      <c r="L44" s="955"/>
      <c r="M44" s="955"/>
    </row>
    <row r="46" spans="2:13" ht="12.75" customHeight="1">
      <c r="B46" s="171" t="s">
        <v>16</v>
      </c>
      <c r="C46" s="114" t="s">
        <v>250</v>
      </c>
      <c r="D46" s="712">
        <f>'RFPR cover'!$C$12</f>
        <v>0.6</v>
      </c>
      <c r="E46" s="713">
        <f>'RFPR cover'!$C$12</f>
        <v>0.6</v>
      </c>
      <c r="F46" s="713">
        <f>'RFPR cover'!$C$12</f>
        <v>0.6</v>
      </c>
      <c r="G46" s="713">
        <f>'RFPR cover'!$C$12</f>
        <v>0.6</v>
      </c>
      <c r="H46" s="713">
        <f>'RFPR cover'!$C$12</f>
        <v>0.6</v>
      </c>
      <c r="I46" s="713">
        <f>'RFPR cover'!$C$12</f>
        <v>0.6</v>
      </c>
      <c r="J46" s="713">
        <f>'RFPR cover'!$C$12</f>
        <v>0.6</v>
      </c>
      <c r="K46" s="714">
        <f>'RFPR cover'!$C$12</f>
        <v>0.6</v>
      </c>
    </row>
    <row r="47" spans="2:13" ht="12.75" customHeight="1">
      <c r="B47" s="171" t="s">
        <v>397</v>
      </c>
      <c r="C47" s="114" t="s">
        <v>250</v>
      </c>
      <c r="D47" s="712">
        <f>'R8 - Net Debt'!D57</f>
        <v>0.32992372119830399</v>
      </c>
      <c r="E47" s="713">
        <f>'R8 - Net Debt'!E57</f>
        <v>0.58289270137218796</v>
      </c>
      <c r="F47" s="713">
        <f>'R8 - Net Debt'!F57</f>
        <v>0.56655980370496906</v>
      </c>
      <c r="G47" s="713">
        <f>'R8 - Net Debt'!G57</f>
        <v>0.54748860168369962</v>
      </c>
      <c r="H47" s="713">
        <f>'R8 - Net Debt'!H57</f>
        <v>0.53952792451240028</v>
      </c>
      <c r="I47" s="713">
        <f>'R8 - Net Debt'!I57</f>
        <v>0.51361527072526059</v>
      </c>
      <c r="J47" s="713">
        <f>'R8 - Net Debt'!J57</f>
        <v>0.37002397990243763</v>
      </c>
      <c r="K47" s="714">
        <f>'R8 - Net Debt'!K57</f>
        <v>0.4245168988336574</v>
      </c>
    </row>
    <row r="48" spans="2:13" ht="12.75" customHeight="1">
      <c r="B48" s="171"/>
      <c r="C48" s="114"/>
      <c r="D48" s="114"/>
      <c r="E48" s="114"/>
      <c r="F48" s="114"/>
      <c r="G48" s="114"/>
      <c r="H48" s="114"/>
      <c r="I48" s="114"/>
      <c r="J48" s="114"/>
      <c r="K48" s="114"/>
      <c r="L48" s="114"/>
    </row>
    <row r="49" spans="2:14" ht="12.75" customHeight="1">
      <c r="B49" s="955" t="s">
        <v>498</v>
      </c>
      <c r="C49" s="220" t="s">
        <v>297</v>
      </c>
      <c r="D49" s="629">
        <f>D37</f>
        <v>-2.0882757265000023</v>
      </c>
      <c r="E49" s="629">
        <f t="shared" ref="E49:K49" si="5">E37</f>
        <v>5.7077603208700003</v>
      </c>
      <c r="F49" s="629">
        <f t="shared" si="5"/>
        <v>1.1529543999999996</v>
      </c>
      <c r="G49" s="629">
        <f t="shared" si="5"/>
        <v>4.0536106799999985</v>
      </c>
      <c r="H49" s="629">
        <f t="shared" si="5"/>
        <v>-5.364069023863216</v>
      </c>
      <c r="I49" s="629">
        <f t="shared" si="5"/>
        <v>2.6969636363636367</v>
      </c>
      <c r="J49" s="629">
        <f t="shared" si="5"/>
        <v>4.4983755804470809</v>
      </c>
      <c r="K49" s="629">
        <f t="shared" si="5"/>
        <v>3.595778863966113</v>
      </c>
    </row>
    <row r="50" spans="2:14">
      <c r="B50" s="171" t="s">
        <v>500</v>
      </c>
      <c r="C50" s="220" t="s">
        <v>297</v>
      </c>
      <c r="D50" s="927">
        <f>D85-D87</f>
        <v>0.89021839015347726</v>
      </c>
      <c r="E50" s="927">
        <f t="shared" ref="E50:K50" si="6">E85-E87</f>
        <v>-1.1324530688784018</v>
      </c>
      <c r="F50" s="927">
        <f t="shared" si="6"/>
        <v>-0.32696944274748591</v>
      </c>
      <c r="G50" s="927">
        <f t="shared" si="6"/>
        <v>-0.57439618215742194</v>
      </c>
      <c r="H50" s="927">
        <f t="shared" si="6"/>
        <v>1.3149372768948395</v>
      </c>
      <c r="I50" s="927">
        <f t="shared" si="6"/>
        <v>1.3918269597210742</v>
      </c>
      <c r="J50" s="629">
        <f t="shared" si="6"/>
        <v>-1.0502898620510386</v>
      </c>
      <c r="K50" s="629">
        <f t="shared" si="6"/>
        <v>-0.31951708095947445</v>
      </c>
      <c r="L50" s="220"/>
    </row>
    <row r="51" spans="2:14" s="18" customFormat="1">
      <c r="B51" s="665" t="s">
        <v>501</v>
      </c>
      <c r="C51" s="220" t="s">
        <v>297</v>
      </c>
      <c r="D51" s="595">
        <f>SUM(D49:D50)</f>
        <v>-1.198057336346525</v>
      </c>
      <c r="E51" s="596">
        <f t="shared" ref="E51:K51" si="7">SUM(E49:E50)</f>
        <v>4.5753072519915987</v>
      </c>
      <c r="F51" s="596">
        <f t="shared" si="7"/>
        <v>0.82598495725251375</v>
      </c>
      <c r="G51" s="596">
        <f t="shared" si="7"/>
        <v>3.4792144978425767</v>
      </c>
      <c r="H51" s="596">
        <f t="shared" si="7"/>
        <v>-4.0491317469683761</v>
      </c>
      <c r="I51" s="596">
        <f t="shared" si="7"/>
        <v>4.0887905960847108</v>
      </c>
      <c r="J51" s="596">
        <f t="shared" si="7"/>
        <v>3.4480857183960421</v>
      </c>
      <c r="K51" s="597">
        <f t="shared" si="7"/>
        <v>3.2762617830066385</v>
      </c>
      <c r="L51" s="646"/>
    </row>
    <row r="53" spans="2:14">
      <c r="B53" s="665" t="s">
        <v>501</v>
      </c>
      <c r="C53" s="320" t="str">
        <f>'RFPR cover'!$C$14</f>
        <v>£m 09/10</v>
      </c>
      <c r="D53" s="595">
        <f>D51/D39</f>
        <v>-1.0268865714526132</v>
      </c>
      <c r="E53" s="596">
        <f t="shared" ref="E53:K53" si="8">E51/E39</f>
        <v>3.8462300172615542</v>
      </c>
      <c r="F53" s="596">
        <f t="shared" si="8"/>
        <v>0.68696078090105395</v>
      </c>
      <c r="G53" s="596">
        <f t="shared" si="8"/>
        <v>2.832914482535319</v>
      </c>
      <c r="H53" s="596">
        <f t="shared" si="8"/>
        <v>-3.1780414162124258</v>
      </c>
      <c r="I53" s="596">
        <f t="shared" si="8"/>
        <v>3.114017537610692</v>
      </c>
      <c r="J53" s="596">
        <f t="shared" si="8"/>
        <v>2.5597921539253061</v>
      </c>
      <c r="K53" s="597">
        <f t="shared" si="8"/>
        <v>2.3915765852893425</v>
      </c>
    </row>
    <row r="54" spans="2:14">
      <c r="B54" s="665"/>
      <c r="C54" s="320"/>
      <c r="D54" s="320"/>
      <c r="E54" s="320"/>
      <c r="F54" s="320"/>
      <c r="G54" s="320"/>
      <c r="H54" s="320"/>
      <c r="I54" s="320"/>
      <c r="J54" s="320"/>
      <c r="K54" s="320"/>
    </row>
    <row r="56" spans="2:14">
      <c r="B56" s="632" t="s">
        <v>502</v>
      </c>
      <c r="C56" s="633"/>
      <c r="D56" s="633"/>
      <c r="E56" s="633"/>
      <c r="F56" s="633"/>
      <c r="G56" s="633"/>
      <c r="H56" s="633"/>
      <c r="I56" s="633"/>
      <c r="J56" s="633"/>
      <c r="K56" s="633"/>
      <c r="L56" s="633"/>
      <c r="M56" s="955"/>
    </row>
    <row r="57" spans="2:14" s="18" customFormat="1">
      <c r="B57" s="956"/>
      <c r="C57" s="955"/>
      <c r="D57" s="955"/>
      <c r="E57" s="955"/>
      <c r="F57" s="955"/>
      <c r="G57" s="955"/>
      <c r="H57" s="955"/>
      <c r="I57" s="955"/>
      <c r="J57" s="955"/>
      <c r="K57" s="955"/>
      <c r="L57" s="955"/>
      <c r="M57" s="955"/>
    </row>
    <row r="58" spans="2:14">
      <c r="B58" s="299" t="s">
        <v>503</v>
      </c>
      <c r="C58" s="245"/>
      <c r="D58" s="245"/>
      <c r="E58" s="245"/>
      <c r="F58" s="245"/>
      <c r="G58" s="245"/>
      <c r="H58" s="245"/>
      <c r="I58" s="245"/>
      <c r="J58" s="245"/>
      <c r="K58" s="245"/>
      <c r="L58" s="245"/>
      <c r="M58" s="158"/>
      <c r="N58" s="158"/>
    </row>
    <row r="59" spans="2:14" s="18" customFormat="1">
      <c r="B59" s="304"/>
      <c r="C59" s="21"/>
      <c r="D59" s="21"/>
      <c r="E59" s="21"/>
      <c r="F59" s="21"/>
      <c r="G59" s="21"/>
      <c r="H59" s="21"/>
      <c r="I59" s="21"/>
      <c r="J59" s="21"/>
      <c r="K59" s="21"/>
      <c r="L59" s="21"/>
      <c r="M59" s="23"/>
      <c r="N59" s="23"/>
    </row>
    <row r="60" spans="2:14">
      <c r="B60" s="158" t="s">
        <v>504</v>
      </c>
      <c r="C60" s="168" t="str">
        <f>'RFPR cover'!$C$14</f>
        <v>£m 09/10</v>
      </c>
      <c r="D60" s="480">
        <v>1.4521935428001387</v>
      </c>
      <c r="E60" s="480">
        <v>1.1040587177529837</v>
      </c>
      <c r="F60" s="480">
        <v>1.2701251520307342</v>
      </c>
      <c r="G60" s="480">
        <v>2.0000233568591961</v>
      </c>
      <c r="H60" s="480">
        <v>2.4500877169084161</v>
      </c>
      <c r="I60" s="480">
        <v>2.9326183892249467</v>
      </c>
      <c r="J60" s="480">
        <v>1.4521025504911933</v>
      </c>
      <c r="K60" s="480">
        <v>1.1326370867901303</v>
      </c>
    </row>
    <row r="61" spans="2:14">
      <c r="B61" s="158" t="s">
        <v>505</v>
      </c>
      <c r="C61" s="168" t="str">
        <f>'RFPR cover'!$C$14</f>
        <v>£m 09/10</v>
      </c>
      <c r="D61" s="766">
        <v>0</v>
      </c>
      <c r="E61" s="766">
        <v>0</v>
      </c>
      <c r="F61" s="766">
        <v>0</v>
      </c>
      <c r="G61" s="766">
        <v>0</v>
      </c>
      <c r="H61" s="766">
        <v>0</v>
      </c>
      <c r="I61" s="766">
        <v>0</v>
      </c>
      <c r="J61" s="766">
        <v>0</v>
      </c>
      <c r="K61" s="766">
        <v>0</v>
      </c>
    </row>
    <row r="62" spans="2:14">
      <c r="B62" s="158" t="s">
        <v>506</v>
      </c>
      <c r="C62" s="168" t="str">
        <f>'RFPR cover'!$C$14</f>
        <v>£m 09/10</v>
      </c>
      <c r="D62" s="534">
        <f t="shared" ref="D62:K62" si="9">SUM(D60:D61)</f>
        <v>1.4521935428001387</v>
      </c>
      <c r="E62" s="535">
        <f t="shared" si="9"/>
        <v>1.1040587177529837</v>
      </c>
      <c r="F62" s="535">
        <f t="shared" si="9"/>
        <v>1.2701251520307342</v>
      </c>
      <c r="G62" s="535">
        <f t="shared" si="9"/>
        <v>2.0000233568591961</v>
      </c>
      <c r="H62" s="535">
        <f t="shared" si="9"/>
        <v>2.4500877169084161</v>
      </c>
      <c r="I62" s="535">
        <f t="shared" si="9"/>
        <v>2.9326183892249467</v>
      </c>
      <c r="J62" s="535">
        <f t="shared" si="9"/>
        <v>1.4521025504911933</v>
      </c>
      <c r="K62" s="536">
        <f t="shared" si="9"/>
        <v>1.1326370867901303</v>
      </c>
    </row>
    <row r="63" spans="2:14">
      <c r="B63" s="158"/>
      <c r="C63" s="168"/>
      <c r="D63" s="168"/>
      <c r="E63" s="168"/>
      <c r="F63" s="168"/>
      <c r="G63" s="168"/>
      <c r="H63" s="168"/>
      <c r="I63" s="168"/>
      <c r="J63" s="168"/>
      <c r="K63" s="168"/>
      <c r="L63" s="168"/>
    </row>
    <row r="64" spans="2:14">
      <c r="B64" s="416" t="s">
        <v>507</v>
      </c>
      <c r="C64" s="245"/>
      <c r="D64" s="245"/>
      <c r="E64" s="245"/>
      <c r="F64" s="245"/>
      <c r="G64" s="245"/>
      <c r="H64" s="245"/>
      <c r="I64" s="245"/>
      <c r="J64" s="245"/>
      <c r="K64" s="245"/>
      <c r="L64" s="245"/>
    </row>
    <row r="65" spans="2:13" s="18" customFormat="1">
      <c r="B65" s="417"/>
      <c r="C65" s="21"/>
      <c r="D65" s="21"/>
      <c r="E65" s="21"/>
      <c r="F65" s="21"/>
      <c r="G65" s="21"/>
      <c r="H65" s="21"/>
      <c r="I65" s="21"/>
      <c r="J65" s="21"/>
      <c r="K65" s="21"/>
      <c r="L65" s="21"/>
    </row>
    <row r="66" spans="2:13">
      <c r="B66" s="158" t="s">
        <v>508</v>
      </c>
      <c r="C66" s="168" t="str">
        <f>'RFPR cover'!$C$14</f>
        <v>£m 09/10</v>
      </c>
      <c r="D66" s="766">
        <v>0.31105928200742039</v>
      </c>
      <c r="E66" s="766">
        <v>0.51247344717656729</v>
      </c>
      <c r="F66" s="480">
        <v>0.77213816524468304</v>
      </c>
      <c r="G66" s="480">
        <v>2.6261239880810368</v>
      </c>
      <c r="H66" s="480">
        <v>2.5701900129913335</v>
      </c>
      <c r="I66" s="480">
        <v>2.7154565501954222</v>
      </c>
      <c r="J66" s="480">
        <v>3.443829745098546</v>
      </c>
      <c r="K66" s="480">
        <v>2.4123057151457097</v>
      </c>
    </row>
    <row r="67" spans="2:13">
      <c r="B67" s="158" t="s">
        <v>509</v>
      </c>
      <c r="C67" s="168" t="str">
        <f>'RFPR cover'!$C$14</f>
        <v>£m 09/10</v>
      </c>
      <c r="D67" s="766">
        <v>0</v>
      </c>
      <c r="E67" s="766">
        <v>0</v>
      </c>
      <c r="F67" s="766">
        <v>0</v>
      </c>
      <c r="G67" s="766">
        <v>0</v>
      </c>
      <c r="H67" s="766">
        <v>0</v>
      </c>
      <c r="I67" s="766">
        <v>0</v>
      </c>
      <c r="J67" s="766">
        <v>0</v>
      </c>
      <c r="K67" s="766">
        <v>0</v>
      </c>
    </row>
    <row r="68" spans="2:13">
      <c r="B68" s="6" t="s">
        <v>510</v>
      </c>
      <c r="C68" s="168" t="str">
        <f>'RFPR cover'!$C$14</f>
        <v>£m 09/10</v>
      </c>
      <c r="D68" s="764">
        <f t="shared" ref="D68:K68" si="10">SUM(D66:D67)</f>
        <v>0.31105928200742039</v>
      </c>
      <c r="E68" s="910">
        <f t="shared" si="10"/>
        <v>0.51247344717656729</v>
      </c>
      <c r="F68" s="509">
        <f t="shared" si="10"/>
        <v>0.77213816524468304</v>
      </c>
      <c r="G68" s="509">
        <f t="shared" si="10"/>
        <v>2.6261239880810368</v>
      </c>
      <c r="H68" s="509">
        <f t="shared" si="10"/>
        <v>2.5701900129913335</v>
      </c>
      <c r="I68" s="509">
        <f t="shared" si="10"/>
        <v>2.7154565501954222</v>
      </c>
      <c r="J68" s="509">
        <f t="shared" si="10"/>
        <v>3.443829745098546</v>
      </c>
      <c r="K68" s="510">
        <f t="shared" si="10"/>
        <v>2.4123057151457097</v>
      </c>
    </row>
    <row r="69" spans="2:13" s="18" customFormat="1">
      <c r="B69" s="417"/>
      <c r="C69" s="21"/>
      <c r="D69" s="598"/>
      <c r="E69" s="598"/>
      <c r="F69" s="598"/>
      <c r="G69" s="598"/>
      <c r="H69" s="598"/>
      <c r="I69" s="598"/>
      <c r="J69" s="598"/>
      <c r="K69" s="598"/>
      <c r="L69" s="21"/>
    </row>
    <row r="70" spans="2:13" s="18" customFormat="1">
      <c r="B70" s="418" t="s">
        <v>511</v>
      </c>
      <c r="C70" s="21"/>
      <c r="D70" s="572">
        <f t="shared" ref="D70:K70" si="11">D68-D62</f>
        <v>-1.1411342607927182</v>
      </c>
      <c r="E70" s="573">
        <f t="shared" si="11"/>
        <v>-0.59158527057641641</v>
      </c>
      <c r="F70" s="573">
        <f t="shared" si="11"/>
        <v>-0.49798698678605113</v>
      </c>
      <c r="G70" s="573">
        <f t="shared" si="11"/>
        <v>0.62610063122184068</v>
      </c>
      <c r="H70" s="573">
        <f t="shared" si="11"/>
        <v>0.12010229608291745</v>
      </c>
      <c r="I70" s="573">
        <f t="shared" si="11"/>
        <v>-0.21716183902952446</v>
      </c>
      <c r="J70" s="573">
        <f t="shared" si="11"/>
        <v>1.9917271946073527</v>
      </c>
      <c r="K70" s="574">
        <f t="shared" si="11"/>
        <v>1.2796686283555794</v>
      </c>
      <c r="L70" s="21"/>
    </row>
    <row r="71" spans="2:13">
      <c r="B71" s="158" t="s">
        <v>512</v>
      </c>
      <c r="C71" s="168" t="str">
        <f>'RFPR cover'!$C$14</f>
        <v>£m 09/10</v>
      </c>
      <c r="D71" s="766">
        <v>0</v>
      </c>
      <c r="E71" s="766">
        <v>0</v>
      </c>
      <c r="F71" s="766">
        <v>0</v>
      </c>
      <c r="G71" s="766">
        <v>0</v>
      </c>
      <c r="H71" s="766">
        <v>0</v>
      </c>
      <c r="I71" s="766">
        <v>0</v>
      </c>
      <c r="J71" s="480">
        <v>-9.7766367645550467E-2</v>
      </c>
      <c r="K71" s="480">
        <v>-0.44419914952686268</v>
      </c>
    </row>
    <row r="72" spans="2:13">
      <c r="B72" s="158" t="s">
        <v>513</v>
      </c>
      <c r="C72" s="168" t="str">
        <f>'RFPR cover'!$C$14</f>
        <v>£m 09/10</v>
      </c>
      <c r="D72" s="766">
        <v>0</v>
      </c>
      <c r="E72" s="766">
        <v>0</v>
      </c>
      <c r="F72" s="766">
        <v>0</v>
      </c>
      <c r="G72" s="766">
        <v>0</v>
      </c>
      <c r="H72" s="766">
        <v>0</v>
      </c>
      <c r="I72" s="766">
        <v>0</v>
      </c>
      <c r="J72" s="766">
        <v>0</v>
      </c>
      <c r="K72" s="766">
        <v>0</v>
      </c>
    </row>
    <row r="73" spans="2:13">
      <c r="B73" s="158" t="s">
        <v>462</v>
      </c>
      <c r="C73" s="168" t="str">
        <f>'RFPR cover'!$C$14</f>
        <v>£m 09/10</v>
      </c>
      <c r="D73" s="480">
        <v>-1.1411342607927182</v>
      </c>
      <c r="E73" s="480">
        <v>-0.59158527057641641</v>
      </c>
      <c r="F73" s="480">
        <v>-0.49798698678605113</v>
      </c>
      <c r="G73" s="480">
        <v>0.62610063122184068</v>
      </c>
      <c r="H73" s="480">
        <v>0.12010229608291745</v>
      </c>
      <c r="I73" s="480">
        <v>-0.21716183902952446</v>
      </c>
      <c r="J73" s="480">
        <v>2.0894935622529029</v>
      </c>
      <c r="K73" s="480">
        <v>1.7238677778824421</v>
      </c>
    </row>
    <row r="74" spans="2:13">
      <c r="B74" s="158" t="s">
        <v>331</v>
      </c>
      <c r="C74" s="168" t="str">
        <f>'RFPR cover'!$C$14</f>
        <v>£m 09/10</v>
      </c>
      <c r="D74" s="419" t="str">
        <f>IF(ABS(D70-SUM(D71:D73))&lt;'RFPR cover'!$F$14,"OK","ERROR")</f>
        <v>OK</v>
      </c>
      <c r="E74" s="420" t="str">
        <f>IF(ABS(E70-SUM(E71:E73))&lt;'RFPR cover'!$F$14,"OK","ERROR")</f>
        <v>OK</v>
      </c>
      <c r="F74" s="420" t="str">
        <f>IF(ABS(F70-SUM(F71:F73))&lt;'RFPR cover'!$F$14,"OK","ERROR")</f>
        <v>OK</v>
      </c>
      <c r="G74" s="420" t="str">
        <f>IF(ABS(G70-SUM(G71:G73))&lt;'RFPR cover'!$F$14,"OK","ERROR")</f>
        <v>OK</v>
      </c>
      <c r="H74" s="420" t="str">
        <f>IF(ABS(H70-SUM(H71:H73))&lt;'RFPR cover'!$F$14,"OK","ERROR")</f>
        <v>OK</v>
      </c>
      <c r="I74" s="420" t="str">
        <f>IF(ABS(I70-SUM(I71:I73))&lt;'RFPR cover'!$F$14,"OK","ERROR")</f>
        <v>OK</v>
      </c>
      <c r="J74" s="420" t="str">
        <f>IF(ABS(J70-SUM(J71:J73))&lt;'RFPR cover'!$F$14,"OK","ERROR")</f>
        <v>OK</v>
      </c>
      <c r="K74" s="421" t="str">
        <f>IF(ABS(K70-SUM(K71:K73))&lt;'RFPR cover'!$F$14,"OK","ERROR")</f>
        <v>OK</v>
      </c>
    </row>
    <row r="75" spans="2:13">
      <c r="B75" s="158"/>
      <c r="C75" s="158"/>
      <c r="D75" s="158"/>
      <c r="E75" s="158"/>
      <c r="F75" s="158"/>
      <c r="G75" s="158"/>
      <c r="H75" s="158"/>
      <c r="I75" s="158"/>
      <c r="J75" s="158"/>
      <c r="K75" s="158"/>
      <c r="L75" s="158"/>
      <c r="M75" s="158"/>
    </row>
    <row r="77" spans="2:13">
      <c r="B77" s="669" t="s">
        <v>408</v>
      </c>
      <c r="C77" s="669"/>
      <c r="D77" s="669"/>
      <c r="E77" s="669"/>
      <c r="F77" s="669"/>
      <c r="G77" s="669"/>
      <c r="H77" s="669"/>
      <c r="I77" s="669"/>
      <c r="J77" s="669"/>
      <c r="K77" s="669"/>
      <c r="L77" s="669"/>
    </row>
    <row r="79" spans="2:13">
      <c r="B79" s="6" t="s">
        <v>514</v>
      </c>
      <c r="C79" s="169" t="str">
        <f>'RFPR cover'!$C$14</f>
        <v>£m 09/10</v>
      </c>
      <c r="D79" s="508">
        <f t="shared" ref="D79:K79" si="12">D$68-D41</f>
        <v>2.1009755372450174</v>
      </c>
      <c r="E79" s="509">
        <f t="shared" si="12"/>
        <v>-4.2857527414380865</v>
      </c>
      <c r="F79" s="509">
        <f t="shared" si="12"/>
        <v>-0.18675878319595451</v>
      </c>
      <c r="G79" s="509">
        <f t="shared" si="12"/>
        <v>-0.6744866552272879</v>
      </c>
      <c r="H79" s="509">
        <f t="shared" si="12"/>
        <v>6.7802860490175476</v>
      </c>
      <c r="I79" s="509">
        <f t="shared" si="12"/>
        <v>0.66145259362775422</v>
      </c>
      <c r="J79" s="509">
        <f t="shared" si="12"/>
        <v>0.10432270941091204</v>
      </c>
      <c r="K79" s="510">
        <f t="shared" si="12"/>
        <v>-0.21250912155143542</v>
      </c>
    </row>
    <row r="80" spans="2:13">
      <c r="B80" s="6"/>
      <c r="C80" s="6"/>
      <c r="D80" s="6"/>
      <c r="E80" s="6"/>
      <c r="F80" s="6"/>
      <c r="G80" s="6"/>
      <c r="H80" s="6"/>
      <c r="I80" s="6"/>
      <c r="J80" s="6"/>
      <c r="K80" s="6"/>
    </row>
    <row r="81" spans="2:11">
      <c r="B81" s="6" t="s">
        <v>515</v>
      </c>
      <c r="C81" s="169" t="str">
        <f>'RFPR cover'!$C$14</f>
        <v>£m 09/10</v>
      </c>
      <c r="D81" s="508">
        <f t="shared" ref="D81:K81" si="13">D$68-D53</f>
        <v>1.3379458534600337</v>
      </c>
      <c r="E81" s="509">
        <f t="shared" si="13"/>
        <v>-3.3337565700849869</v>
      </c>
      <c r="F81" s="509">
        <f t="shared" si="13"/>
        <v>8.5177384343629092E-2</v>
      </c>
      <c r="G81" s="509">
        <f t="shared" si="13"/>
        <v>-0.20679049445428221</v>
      </c>
      <c r="H81" s="509">
        <f t="shared" si="13"/>
        <v>5.7482314292037593</v>
      </c>
      <c r="I81" s="509">
        <f t="shared" si="13"/>
        <v>-0.3985609874152698</v>
      </c>
      <c r="J81" s="509">
        <f t="shared" si="13"/>
        <v>0.88403759117323988</v>
      </c>
      <c r="K81" s="510">
        <f t="shared" si="13"/>
        <v>2.0729129856367212E-2</v>
      </c>
    </row>
    <row r="83" spans="2:11">
      <c r="B83" s="6" t="s">
        <v>516</v>
      </c>
      <c r="C83" s="169" t="str">
        <f>'RFPR cover'!$C$14</f>
        <v>£m 09/10</v>
      </c>
      <c r="D83" s="764">
        <f>D79-D81</f>
        <v>0.7630296837849837</v>
      </c>
      <c r="E83" s="910">
        <f t="shared" ref="E83:K83" si="14">E79-E81</f>
        <v>-0.95199617135309955</v>
      </c>
      <c r="F83" s="910">
        <f t="shared" si="14"/>
        <v>-0.27193616753958361</v>
      </c>
      <c r="G83" s="910">
        <f t="shared" si="14"/>
        <v>-0.46769616077300569</v>
      </c>
      <c r="H83" s="910">
        <f t="shared" si="14"/>
        <v>1.0320546198137883</v>
      </c>
      <c r="I83" s="910">
        <f t="shared" si="14"/>
        <v>1.060013581043024</v>
      </c>
      <c r="J83" s="509">
        <f t="shared" si="14"/>
        <v>-0.77971488176232784</v>
      </c>
      <c r="K83" s="510">
        <f t="shared" si="14"/>
        <v>-0.23323825140780263</v>
      </c>
    </row>
    <row r="84" spans="2:11">
      <c r="D84" s="173"/>
      <c r="E84" s="173"/>
      <c r="F84" s="173"/>
      <c r="G84" s="173"/>
      <c r="H84" s="173"/>
      <c r="I84" s="173"/>
    </row>
    <row r="85" spans="2:11">
      <c r="B85" t="s">
        <v>517</v>
      </c>
      <c r="C85" s="220" t="s">
        <v>297</v>
      </c>
      <c r="D85" s="480">
        <v>-5.5842549936821681E-2</v>
      </c>
      <c r="E85" s="480">
        <v>0.17133039461440616</v>
      </c>
      <c r="F85" s="480">
        <v>0.10303349891591983</v>
      </c>
      <c r="G85" s="480">
        <v>0.27326383395872672</v>
      </c>
      <c r="H85" s="480">
        <v>0.41691765896131749</v>
      </c>
      <c r="I85" s="480">
        <v>0.56749317441759517</v>
      </c>
      <c r="J85" s="480">
        <v>0.49554868113013378</v>
      </c>
      <c r="K85" s="480">
        <v>0.32259397947786156</v>
      </c>
    </row>
    <row r="86" spans="2:11">
      <c r="B86" t="s">
        <v>517</v>
      </c>
      <c r="C86" s="320" t="str">
        <f>'RFPR cover'!$C$14</f>
        <v>£m 09/10</v>
      </c>
      <c r="D86" s="927">
        <f>D85/D$39</f>
        <v>-4.7864123782810374E-2</v>
      </c>
      <c r="E86" s="927">
        <f t="shared" ref="E86:K86" si="15">E85/E$39</f>
        <v>0.1440288204356874</v>
      </c>
      <c r="F86" s="927">
        <f t="shared" si="15"/>
        <v>8.5691600376942303E-2</v>
      </c>
      <c r="G86" s="927">
        <f t="shared" si="15"/>
        <v>0.22250225539553112</v>
      </c>
      <c r="H86" s="927">
        <f t="shared" si="15"/>
        <v>0.3272260993536259</v>
      </c>
      <c r="I86" s="927">
        <f t="shared" si="15"/>
        <v>0.43220205488218216</v>
      </c>
      <c r="J86" s="629">
        <f t="shared" si="15"/>
        <v>0.36788575732827866</v>
      </c>
      <c r="K86" s="629">
        <f t="shared" si="15"/>
        <v>0.23548429856131589</v>
      </c>
    </row>
    <row r="87" spans="2:11">
      <c r="B87" t="s">
        <v>518</v>
      </c>
      <c r="C87" s="220" t="s">
        <v>297</v>
      </c>
      <c r="D87" s="480">
        <v>-0.94606094009029895</v>
      </c>
      <c r="E87" s="480">
        <v>1.303783463492808</v>
      </c>
      <c r="F87" s="480">
        <v>0.43000294166340575</v>
      </c>
      <c r="G87" s="480">
        <v>0.84766001611614861</v>
      </c>
      <c r="H87" s="480">
        <v>-0.89801961793352203</v>
      </c>
      <c r="I87" s="480">
        <v>-0.82433378530347912</v>
      </c>
      <c r="J87" s="480">
        <v>1.5458385431811723</v>
      </c>
      <c r="K87" s="480">
        <v>0.64211106043733601</v>
      </c>
    </row>
    <row r="88" spans="2:11">
      <c r="B88" t="s">
        <v>518</v>
      </c>
      <c r="C88" s="320" t="str">
        <f>'RFPR cover'!$C$14</f>
        <v>£m 09/10</v>
      </c>
      <c r="D88" s="927">
        <f t="shared" ref="D88:K88" si="16">D87/D$39</f>
        <v>-0.81089380756779417</v>
      </c>
      <c r="E88" s="927">
        <f t="shared" si="16"/>
        <v>1.0960249917887877</v>
      </c>
      <c r="F88" s="927">
        <f t="shared" si="16"/>
        <v>0.35762776791652595</v>
      </c>
      <c r="G88" s="927">
        <f t="shared" si="16"/>
        <v>0.69019841616853728</v>
      </c>
      <c r="H88" s="927">
        <f t="shared" si="16"/>
        <v>-0.70482852046016209</v>
      </c>
      <c r="I88" s="927">
        <f t="shared" si="16"/>
        <v>-0.6278115261608419</v>
      </c>
      <c r="J88" s="629">
        <f t="shared" si="16"/>
        <v>1.1476006390906064</v>
      </c>
      <c r="K88" s="629">
        <f t="shared" si="16"/>
        <v>0.46872254996911861</v>
      </c>
    </row>
    <row r="89" spans="2:11">
      <c r="B89" t="s">
        <v>519</v>
      </c>
      <c r="C89" s="320" t="str">
        <f>'RFPR cover'!$C$14</f>
        <v>£m 09/10</v>
      </c>
      <c r="D89" s="927">
        <f>D86-D88</f>
        <v>0.76302968378498381</v>
      </c>
      <c r="E89" s="927">
        <f t="shared" ref="E89:K89" si="17">E86-E88</f>
        <v>-0.95199617135310022</v>
      </c>
      <c r="F89" s="927">
        <f t="shared" si="17"/>
        <v>-0.27193616753958366</v>
      </c>
      <c r="G89" s="927">
        <f t="shared" si="17"/>
        <v>-0.46769616077300613</v>
      </c>
      <c r="H89" s="927">
        <f t="shared" si="17"/>
        <v>1.0320546198137879</v>
      </c>
      <c r="I89" s="927">
        <f t="shared" si="17"/>
        <v>1.060013581043024</v>
      </c>
      <c r="J89" s="629">
        <f t="shared" si="17"/>
        <v>-0.77971488176232773</v>
      </c>
      <c r="K89" s="629">
        <f t="shared" si="17"/>
        <v>-0.23323825140780272</v>
      </c>
    </row>
  </sheetData>
  <sheetProtection algorithmName="SHA-512" hashValue="UUzDTsGXX1si3uT/X8x8lhIUZIgQ7QSa3NdcCOW2H4gwDrQZr4f6J02jRVgKK7R0TOt8JJ3Xtq/6oXIz8dSKrw==" saltValue="XP1CLc8uApkKXbpvz6rMuQ==" spinCount="100000" sheet="1" formatCells="0" formatColumns="0" formatRows="0" insertColumns="0" insertRows="0" insertHyperlinks="0" deleteColumns="0" deleteRows="0" sort="0" autoFilter="0" pivotTables="0"/>
  <conditionalFormatting sqref="D6:K7">
    <cfRule type="expression" dxfId="27" priority="70">
      <formula>AND(D$6="Actuals",E$6="Forecast")</formula>
    </cfRule>
  </conditionalFormatting>
  <conditionalFormatting sqref="D5:K5">
    <cfRule type="expression" dxfId="26" priority="45">
      <formula>AND(D$5="Actuals",E$5="Forecast")</formula>
    </cfRule>
  </conditionalFormatting>
  <conditionalFormatting sqref="D36:F36 H36 J36:K36">
    <cfRule type="expression" dxfId="25" priority="13">
      <formula>AND(D$5="Actuals",E$5="Actuals")</formula>
    </cfRule>
  </conditionalFormatting>
  <conditionalFormatting sqref="D12:K12 D15:K19 D24:K33">
    <cfRule type="expression" dxfId="24" priority="12">
      <formula>NOT(AND(D$5="Actuals"))</formula>
    </cfRule>
  </conditionalFormatting>
  <conditionalFormatting sqref="G36">
    <cfRule type="expression" dxfId="23" priority="178">
      <formula>AND(E$5="Actuals",F$5="Actuals")</formula>
    </cfRule>
  </conditionalFormatting>
  <conditionalFormatting sqref="I36">
    <cfRule type="expression" dxfId="22" priority="1">
      <formula>NOT(AND(I$5="Actuals"))</formula>
    </cfRule>
  </conditionalFormatting>
  <pageMargins left="0.70866141732283472" right="0.70866141732283472" top="0.74803149606299213" bottom="0.74803149606299213" header="0.31496062992125984" footer="0.31496062992125984"/>
  <pageSetup paperSize="8" scale="79" orientation="landscape" r:id="rId1"/>
  <customProperties>
    <customPr name="EpmWorksheetKeyString_GUID"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activeCell="I8" sqref="I8"/>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18" customFormat="1" ht="20.25">
      <c r="A1" s="856" t="s">
        <v>520</v>
      </c>
      <c r="B1" s="732"/>
      <c r="C1" s="211"/>
      <c r="D1" s="211"/>
      <c r="E1" s="211"/>
      <c r="F1" s="211"/>
      <c r="G1" s="211"/>
      <c r="H1" s="211"/>
      <c r="I1" s="212"/>
      <c r="J1" s="212"/>
      <c r="K1" s="213"/>
      <c r="L1" s="876"/>
    </row>
    <row r="2" spans="1:18" s="18" customFormat="1" ht="20.25">
      <c r="A2" s="725" t="str">
        <f>'RFPR cover'!C5</f>
        <v>NGET (SO)</v>
      </c>
      <c r="B2" s="720"/>
      <c r="C2" s="16"/>
      <c r="D2" s="16"/>
      <c r="E2" s="16"/>
      <c r="F2" s="16"/>
      <c r="G2" s="16"/>
      <c r="H2" s="16"/>
      <c r="I2" s="15"/>
      <c r="J2" s="15"/>
      <c r="K2" s="15"/>
      <c r="L2" s="93"/>
    </row>
    <row r="3" spans="1:18" s="18" customFormat="1" ht="23.25">
      <c r="A3" s="728">
        <f>'RFPR cover'!C7</f>
        <v>2020</v>
      </c>
      <c r="B3" s="734" t="str">
        <f>'R1 - RoRE'!B3</f>
        <v>Not required to be completed for System Operator</v>
      </c>
      <c r="C3" s="214"/>
      <c r="D3" s="214"/>
      <c r="E3" s="214"/>
      <c r="F3" s="214"/>
      <c r="G3" s="214"/>
      <c r="H3" s="214"/>
      <c r="I3" s="210"/>
      <c r="J3" s="210"/>
      <c r="K3" s="210"/>
      <c r="L3" s="215"/>
    </row>
    <row r="4" spans="1:18" s="2" customFormat="1" ht="12.75" customHeight="1"/>
    <row r="5" spans="1:18" s="2" customFormat="1">
      <c r="B5" s="3"/>
      <c r="C5" s="3"/>
      <c r="D5" s="313" t="str">
        <f>IF(D6&lt;='RFPR cover'!$C$7,"Actuals","N/A")</f>
        <v>Actuals</v>
      </c>
      <c r="E5" s="314" t="str">
        <f>IF(E6&lt;='RFPR cover'!$C$7,"Actuals","N/A")</f>
        <v>Actuals</v>
      </c>
      <c r="F5" s="314" t="str">
        <f>IF(F6&lt;='RFPR cover'!$C$7,"Actuals","N/A")</f>
        <v>Actuals</v>
      </c>
      <c r="G5" s="314" t="str">
        <f>IF(G6&lt;='RFPR cover'!$C$7,"Actuals","N/A")</f>
        <v>Actuals</v>
      </c>
      <c r="H5" s="314" t="str">
        <f>IF(H6&lt;='RFPR cover'!$C$7,"Actuals","N/A")</f>
        <v>Actuals</v>
      </c>
      <c r="I5" s="314" t="str">
        <f>IF(I6&lt;='RFPR cover'!$C$7,"Actuals","N/A")</f>
        <v>Actuals</v>
      </c>
      <c r="J5" s="314" t="str">
        <f>IF(J6&lt;='RFPR cover'!$C$7,"Actuals","N/A")</f>
        <v>Actuals</v>
      </c>
      <c r="K5" s="315" t="str">
        <f>IF(K6&lt;='RFPR cover'!$C$7,"Actuals","N/A")</f>
        <v>N/A</v>
      </c>
    </row>
    <row r="6" spans="1:18" s="2" customFormat="1">
      <c r="D6" s="90">
        <f>'RFPR cover'!$C$13</f>
        <v>2014</v>
      </c>
      <c r="E6" s="91">
        <f>D6+1</f>
        <v>2015</v>
      </c>
      <c r="F6" s="91">
        <f t="shared" ref="F6:K6" si="0">E6+1</f>
        <v>2016</v>
      </c>
      <c r="G6" s="91">
        <f t="shared" si="0"/>
        <v>2017</v>
      </c>
      <c r="H6" s="91">
        <f t="shared" si="0"/>
        <v>2018</v>
      </c>
      <c r="I6" s="91">
        <f t="shared" si="0"/>
        <v>2019</v>
      </c>
      <c r="J6" s="91">
        <f t="shared" si="0"/>
        <v>2020</v>
      </c>
      <c r="K6" s="154">
        <f t="shared" si="0"/>
        <v>2021</v>
      </c>
    </row>
    <row r="7" spans="1:18" s="2" customFormat="1"/>
    <row r="8" spans="1:18">
      <c r="B8" s="6" t="s">
        <v>521</v>
      </c>
      <c r="C8" s="112" t="s">
        <v>297</v>
      </c>
      <c r="D8" s="752">
        <v>0</v>
      </c>
      <c r="E8" s="752">
        <v>0</v>
      </c>
      <c r="F8" s="752">
        <v>0</v>
      </c>
      <c r="G8" s="752">
        <v>0</v>
      </c>
      <c r="H8" s="752">
        <v>0</v>
      </c>
      <c r="I8" s="752">
        <v>0</v>
      </c>
      <c r="J8" s="752">
        <v>0</v>
      </c>
      <c r="K8" s="753"/>
    </row>
    <row r="9" spans="1:18">
      <c r="B9" s="7" t="s">
        <v>522</v>
      </c>
      <c r="C9" s="6"/>
      <c r="D9" s="173"/>
      <c r="E9" s="173"/>
      <c r="F9" s="173"/>
      <c r="G9" s="173"/>
      <c r="H9" s="173"/>
      <c r="I9" s="173"/>
      <c r="J9" s="173"/>
      <c r="K9" s="173"/>
    </row>
    <row r="10" spans="1:18">
      <c r="B10" s="348" t="s">
        <v>485</v>
      </c>
      <c r="C10" s="112" t="s">
        <v>297</v>
      </c>
      <c r="D10" s="752">
        <v>0</v>
      </c>
      <c r="E10" s="752">
        <v>0</v>
      </c>
      <c r="F10" s="752">
        <v>0</v>
      </c>
      <c r="G10" s="752">
        <v>0</v>
      </c>
      <c r="H10" s="752">
        <v>0</v>
      </c>
      <c r="I10" s="752">
        <v>0</v>
      </c>
      <c r="J10" s="752">
        <v>0</v>
      </c>
      <c r="K10" s="754"/>
    </row>
    <row r="11" spans="1:18">
      <c r="B11" s="348" t="s">
        <v>485</v>
      </c>
      <c r="C11" s="112" t="s">
        <v>297</v>
      </c>
      <c r="D11" s="752">
        <v>0</v>
      </c>
      <c r="E11" s="752">
        <v>0</v>
      </c>
      <c r="F11" s="752">
        <v>0</v>
      </c>
      <c r="G11" s="752">
        <v>0</v>
      </c>
      <c r="H11" s="752">
        <v>0</v>
      </c>
      <c r="I11" s="752">
        <v>0</v>
      </c>
      <c r="J11" s="752">
        <v>0</v>
      </c>
      <c r="K11" s="755"/>
    </row>
    <row r="12" spans="1:18">
      <c r="B12" s="348" t="s">
        <v>494</v>
      </c>
      <c r="C12" s="112" t="s">
        <v>297</v>
      </c>
      <c r="D12" s="752">
        <v>0</v>
      </c>
      <c r="E12" s="752">
        <v>0</v>
      </c>
      <c r="F12" s="752">
        <v>0</v>
      </c>
      <c r="G12" s="752">
        <v>0</v>
      </c>
      <c r="H12" s="752">
        <v>0</v>
      </c>
      <c r="I12" s="752">
        <v>0</v>
      </c>
      <c r="J12" s="752">
        <v>0</v>
      </c>
      <c r="K12" s="756"/>
      <c r="Q12" s="174"/>
    </row>
    <row r="13" spans="1:18">
      <c r="B13" s="6" t="s">
        <v>523</v>
      </c>
      <c r="C13" s="112" t="s">
        <v>297</v>
      </c>
      <c r="D13" s="757">
        <f>D8-SUM(D10:D12)</f>
        <v>0</v>
      </c>
      <c r="E13" s="758">
        <f t="shared" ref="E13:K13" si="1">E8-SUM(E10:E12)</f>
        <v>0</v>
      </c>
      <c r="F13" s="758">
        <f t="shared" si="1"/>
        <v>0</v>
      </c>
      <c r="G13" s="758">
        <f t="shared" si="1"/>
        <v>0</v>
      </c>
      <c r="H13" s="758">
        <f t="shared" si="1"/>
        <v>0</v>
      </c>
      <c r="I13" s="758">
        <f t="shared" si="1"/>
        <v>0</v>
      </c>
      <c r="J13" s="758">
        <f t="shared" si="1"/>
        <v>0</v>
      </c>
      <c r="K13" s="759">
        <f t="shared" si="1"/>
        <v>0</v>
      </c>
      <c r="R13" s="173"/>
    </row>
    <row r="14" spans="1:18">
      <c r="C14" s="6"/>
      <c r="D14" s="173"/>
      <c r="E14" s="173"/>
      <c r="F14" s="173"/>
      <c r="G14" s="173"/>
      <c r="H14" s="173"/>
      <c r="I14" s="173"/>
      <c r="J14" s="173"/>
      <c r="K14" s="173"/>
      <c r="Q14" s="174"/>
    </row>
    <row r="15" spans="1:18">
      <c r="B15" s="6" t="s">
        <v>524</v>
      </c>
      <c r="C15" s="112" t="s">
        <v>297</v>
      </c>
      <c r="D15" s="752">
        <v>0</v>
      </c>
      <c r="E15" s="752">
        <v>0</v>
      </c>
      <c r="F15" s="752">
        <v>0</v>
      </c>
      <c r="G15" s="752">
        <v>0</v>
      </c>
      <c r="H15" s="752">
        <v>0</v>
      </c>
      <c r="I15" s="752">
        <v>0</v>
      </c>
      <c r="J15" s="752">
        <v>0</v>
      </c>
      <c r="K15" s="754"/>
    </row>
  </sheetData>
  <sheetProtection algorithmName="SHA-512" hashValue="2HMSBU151eFJMFPKswxRL3VXgZFpExo6OXkbtbhm8rZjgk200kadlB+dD6V3v1gRRxb+XExu0T/ZyK7tPoEMPA==" saltValue="tB1FzDlGPdY0M/ihMQ//ZQ==" spinCount="100000" sheet="1" formatCells="0" formatColumns="0" formatRows="0" insertColumns="0" insertRows="0" insertHyperlinks="0" deleteColumns="0" deleteRows="0" sort="0" autoFilter="0" pivotTables="0"/>
  <conditionalFormatting sqref="D6:K6">
    <cfRule type="expression" dxfId="21" priority="11">
      <formula>AND(D$5="Actuals",E$5="N/A")</formula>
    </cfRule>
  </conditionalFormatting>
  <conditionalFormatting sqref="D5:K5">
    <cfRule type="expression" dxfId="20" priority="4">
      <formula>AND(D$5="Actuals",E$5="N/A")</formula>
    </cfRule>
  </conditionalFormatting>
  <conditionalFormatting sqref="D5:K6 D8:K8 D10:K13">
    <cfRule type="expression" dxfId="19" priority="3">
      <formula>D$5="N/A"</formula>
    </cfRule>
  </conditionalFormatting>
  <conditionalFormatting sqref="K15">
    <cfRule type="expression" dxfId="18" priority="2">
      <formula>K$5="N/A"</formula>
    </cfRule>
  </conditionalFormatting>
  <conditionalFormatting sqref="D15:J15">
    <cfRule type="expression" dxfId="17" priority="1">
      <formula>D$5="N/A"</formula>
    </cfRule>
  </conditionalFormatting>
  <pageMargins left="0.70866141732283472" right="0.70866141732283472" top="0.74803149606299213" bottom="0.74803149606299213" header="0.31496062992125984" footer="0.31496062992125984"/>
  <pageSetup paperSize="8" scale="85" orientation="landscape" r:id="rId1"/>
  <customProperties>
    <customPr name="EpmWorksheetKeyString_GUID"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80" zoomScaleNormal="80" workbookViewId="0">
      <pane ySplit="6" topLeftCell="A7" activePane="bottomLeft" state="frozen"/>
      <selection activeCell="B75" sqref="A1:XFD1048576"/>
      <selection pane="bottomLeft" activeCell="J18" sqref="J18"/>
    </sheetView>
  </sheetViews>
  <sheetFormatPr defaultRowHeight="12.75"/>
  <cols>
    <col min="1" max="1" width="8.375" customWidth="1"/>
    <col min="2" max="2" width="82" customWidth="1"/>
    <col min="3" max="3" width="14.125" customWidth="1"/>
    <col min="4" max="11" width="11.125" customWidth="1"/>
    <col min="12" max="12" width="5" customWidth="1"/>
  </cols>
  <sheetData>
    <row r="1" spans="1:12" s="18" customFormat="1" ht="20.25">
      <c r="A1" s="856" t="s">
        <v>209</v>
      </c>
      <c r="B1" s="732"/>
      <c r="C1" s="211"/>
      <c r="D1" s="211"/>
      <c r="E1" s="211"/>
      <c r="F1" s="211"/>
      <c r="G1" s="211"/>
      <c r="H1" s="211"/>
      <c r="I1" s="212"/>
      <c r="J1" s="212"/>
      <c r="K1" s="213"/>
      <c r="L1" s="876"/>
    </row>
    <row r="2" spans="1:12" s="18" customFormat="1" ht="20.25">
      <c r="A2" s="725" t="str">
        <f>'RFPR cover'!C5</f>
        <v>NGET (SO)</v>
      </c>
      <c r="B2" s="720"/>
      <c r="C2" s="16"/>
      <c r="D2" s="16"/>
      <c r="E2" s="16"/>
      <c r="F2" s="16"/>
      <c r="G2" s="16"/>
      <c r="H2" s="16"/>
      <c r="I2" s="15"/>
      <c r="J2" s="15"/>
      <c r="K2" s="15"/>
      <c r="L2" s="93"/>
    </row>
    <row r="3" spans="1:12" s="18" customFormat="1" ht="20.25">
      <c r="A3" s="728">
        <f>'RFPR cover'!C7</f>
        <v>2020</v>
      </c>
      <c r="B3" s="735"/>
      <c r="C3" s="214"/>
      <c r="D3" s="214"/>
      <c r="E3" s="214"/>
      <c r="F3" s="214"/>
      <c r="G3" s="214"/>
      <c r="H3" s="214"/>
      <c r="I3" s="210"/>
      <c r="J3" s="210"/>
      <c r="K3" s="210"/>
      <c r="L3" s="215"/>
    </row>
    <row r="4" spans="1:12" s="2" customFormat="1" ht="12.75" customHeight="1">
      <c r="A4" s="21"/>
      <c r="B4" s="223"/>
      <c r="C4" s="18"/>
      <c r="D4" s="224"/>
      <c r="E4" s="224"/>
      <c r="F4" s="21"/>
      <c r="G4" s="21"/>
      <c r="H4" s="21"/>
      <c r="I4" s="21"/>
      <c r="J4" s="21"/>
      <c r="K4" s="21"/>
    </row>
    <row r="5" spans="1:12" s="2" customFormat="1" ht="12.75" customHeight="1">
      <c r="A5" s="21"/>
      <c r="B5" s="223"/>
      <c r="C5" s="18"/>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row>
    <row r="6" spans="1:12" s="2" customFormat="1">
      <c r="A6" s="21"/>
      <c r="B6" s="21"/>
      <c r="C6" s="18"/>
      <c r="D6" s="90">
        <f>'RFPR cover'!$C$13</f>
        <v>2014</v>
      </c>
      <c r="E6" s="91">
        <f>D6+1</f>
        <v>2015</v>
      </c>
      <c r="F6" s="91">
        <f t="shared" ref="F6:K6" si="0">E6+1</f>
        <v>2016</v>
      </c>
      <c r="G6" s="91">
        <f t="shared" si="0"/>
        <v>2017</v>
      </c>
      <c r="H6" s="91">
        <f t="shared" si="0"/>
        <v>2018</v>
      </c>
      <c r="I6" s="91">
        <f t="shared" si="0"/>
        <v>2019</v>
      </c>
      <c r="J6" s="91">
        <f t="shared" si="0"/>
        <v>2020</v>
      </c>
      <c r="K6" s="154">
        <f t="shared" si="0"/>
        <v>2021</v>
      </c>
    </row>
    <row r="7" spans="1:12" s="2" customFormat="1">
      <c r="A7" s="21"/>
      <c r="B7" s="21"/>
      <c r="C7" s="18"/>
      <c r="D7" s="18"/>
      <c r="E7" s="18"/>
      <c r="F7" s="18"/>
      <c r="G7" s="18"/>
      <c r="H7" s="18"/>
      <c r="I7" s="18"/>
      <c r="J7" s="18"/>
      <c r="K7" s="18"/>
      <c r="L7" s="18"/>
    </row>
    <row r="8" spans="1:12">
      <c r="B8" s="6" t="s">
        <v>525</v>
      </c>
      <c r="C8" s="112" t="s">
        <v>297</v>
      </c>
      <c r="D8" s="600">
        <v>10.297511085860867</v>
      </c>
      <c r="E8" s="600">
        <v>10.681012014637169</v>
      </c>
      <c r="F8" s="600">
        <v>10.895046430018553</v>
      </c>
      <c r="G8" s="600">
        <v>10.888425498868122</v>
      </c>
      <c r="H8" s="600">
        <v>11.15504738794858</v>
      </c>
      <c r="I8" s="600">
        <v>11.569185968853741</v>
      </c>
      <c r="J8" s="600">
        <v>11.934277051622423</v>
      </c>
      <c r="K8" s="601"/>
    </row>
    <row r="9" spans="1:12">
      <c r="B9" s="8" t="s">
        <v>526</v>
      </c>
      <c r="D9" s="599"/>
      <c r="E9" s="599"/>
      <c r="F9" s="599"/>
      <c r="G9" s="599"/>
      <c r="H9" s="599"/>
      <c r="I9" s="599"/>
      <c r="J9" s="599"/>
      <c r="K9" s="599"/>
    </row>
    <row r="10" spans="1:12">
      <c r="B10" t="s">
        <v>527</v>
      </c>
      <c r="C10" s="112" t="s">
        <v>297</v>
      </c>
      <c r="D10" s="600">
        <v>10.239717136624991</v>
      </c>
      <c r="E10" s="600">
        <v>10.621641712435837</v>
      </c>
      <c r="F10" s="600">
        <v>10.83434259949844</v>
      </c>
      <c r="G10" s="600">
        <v>10.76212420460763</v>
      </c>
      <c r="H10" s="600">
        <v>11.025653388533193</v>
      </c>
      <c r="I10" s="600">
        <v>11.434988130832217</v>
      </c>
      <c r="J10" s="600">
        <v>11.795844305966048</v>
      </c>
      <c r="K10" s="562"/>
    </row>
    <row r="11" spans="1:12">
      <c r="B11" t="s">
        <v>528</v>
      </c>
      <c r="C11" s="112" t="s">
        <v>297</v>
      </c>
      <c r="D11" s="600">
        <v>5.7793949235875393E-2</v>
      </c>
      <c r="E11" s="600">
        <v>5.9370302201332513E-2</v>
      </c>
      <c r="F11" s="600">
        <v>6.0703830520113446E-2</v>
      </c>
      <c r="G11" s="600">
        <v>0.12630129426049178</v>
      </c>
      <c r="H11" s="600">
        <v>0.12939399941538676</v>
      </c>
      <c r="I11" s="600">
        <v>0.13419783802152524</v>
      </c>
      <c r="J11" s="600">
        <v>0.13843274565637495</v>
      </c>
      <c r="K11" s="602"/>
    </row>
    <row r="12" spans="1:12">
      <c r="D12" s="599"/>
      <c r="E12" s="599"/>
      <c r="F12" s="599"/>
      <c r="G12" s="599"/>
      <c r="H12" s="599"/>
      <c r="I12" s="599"/>
      <c r="J12" s="599"/>
      <c r="K12" s="599"/>
    </row>
    <row r="13" spans="1:12">
      <c r="D13" s="599"/>
      <c r="E13" s="599"/>
      <c r="F13" s="599"/>
      <c r="G13" s="599"/>
      <c r="H13" s="599"/>
      <c r="I13" s="599"/>
      <c r="J13" s="599"/>
      <c r="K13" s="599"/>
    </row>
    <row r="14" spans="1:12">
      <c r="B14" t="s">
        <v>527</v>
      </c>
      <c r="C14" s="168" t="str">
        <f>'RFPR cover'!$C$14</f>
        <v>£m 09/10</v>
      </c>
      <c r="D14" s="901">
        <f>D10/Data!C$34</f>
        <v>8.7767318842510296</v>
      </c>
      <c r="E14" s="901">
        <f>E10/Data!D$34</f>
        <v>8.9290784065234075</v>
      </c>
      <c r="F14" s="901">
        <f>F10/Data!E$34</f>
        <v>9.0107796605134265</v>
      </c>
      <c r="G14" s="901">
        <f>G10/Data!F$34</f>
        <v>8.7629485163913419</v>
      </c>
      <c r="H14" s="901">
        <f>H10/Data!G$34</f>
        <v>8.6537028921808066</v>
      </c>
      <c r="I14" s="901">
        <f>I10/Data!H$34</f>
        <v>8.7088719133426338</v>
      </c>
      <c r="J14" s="901">
        <f>J10/Data!I$34</f>
        <v>8.7570066898981427</v>
      </c>
      <c r="K14" s="943">
        <f>K10/Data!J$34</f>
        <v>0</v>
      </c>
    </row>
    <row r="15" spans="1:12">
      <c r="D15" s="599"/>
      <c r="E15" s="599"/>
      <c r="F15" s="599"/>
      <c r="G15" s="599"/>
      <c r="H15" s="599"/>
      <c r="I15" s="599"/>
      <c r="J15" s="599"/>
      <c r="K15" s="599"/>
    </row>
    <row r="16" spans="1:12">
      <c r="D16" s="599"/>
      <c r="E16" s="599"/>
      <c r="F16" s="599"/>
      <c r="G16" s="599"/>
      <c r="H16" s="599"/>
      <c r="I16" s="599"/>
      <c r="J16" s="599"/>
      <c r="K16" s="599"/>
    </row>
    <row r="17" spans="2:11" s="2" customFormat="1">
      <c r="B17" s="6" t="s">
        <v>529</v>
      </c>
      <c r="C17" s="168" t="str">
        <f>'RFPR cover'!$C$14</f>
        <v>£m 09/10</v>
      </c>
      <c r="D17" s="600">
        <v>8.8000000000000007</v>
      </c>
      <c r="E17" s="600">
        <v>8.8000000000000007</v>
      </c>
      <c r="F17" s="600">
        <v>9.9</v>
      </c>
      <c r="G17" s="600">
        <v>9.9</v>
      </c>
      <c r="H17" s="600">
        <v>9.9</v>
      </c>
      <c r="I17" s="600">
        <v>8.5</v>
      </c>
      <c r="J17" s="600">
        <v>8.5</v>
      </c>
      <c r="K17" s="600">
        <v>8.5</v>
      </c>
    </row>
    <row r="18" spans="2:11" s="2" customFormat="1">
      <c r="B18" s="158" t="s">
        <v>530</v>
      </c>
      <c r="C18" s="168" t="str">
        <f>'RFPR cover'!$C$14</f>
        <v>£m 09/10</v>
      </c>
      <c r="D18" s="751">
        <v>0</v>
      </c>
      <c r="E18" s="751">
        <v>0</v>
      </c>
      <c r="F18" s="751">
        <v>0</v>
      </c>
      <c r="G18" s="751">
        <v>0</v>
      </c>
      <c r="H18" s="751">
        <v>0</v>
      </c>
      <c r="I18" s="600">
        <v>-0.2</v>
      </c>
      <c r="J18" s="600">
        <v>-0.2</v>
      </c>
      <c r="K18" s="600">
        <v>-0.2</v>
      </c>
    </row>
    <row r="19" spans="2:11" s="2" customFormat="1">
      <c r="B19" s="6" t="s">
        <v>531</v>
      </c>
      <c r="C19" s="168" t="str">
        <f>'RFPR cover'!$C$14</f>
        <v>£m 09/10</v>
      </c>
      <c r="D19" s="901">
        <f>D17-D18</f>
        <v>8.8000000000000007</v>
      </c>
      <c r="E19" s="901">
        <f t="shared" ref="E19:K19" si="1">E17-E18</f>
        <v>8.8000000000000007</v>
      </c>
      <c r="F19" s="901">
        <f t="shared" si="1"/>
        <v>9.9</v>
      </c>
      <c r="G19" s="901">
        <f t="shared" si="1"/>
        <v>9.9</v>
      </c>
      <c r="H19" s="901">
        <f t="shared" si="1"/>
        <v>9.9</v>
      </c>
      <c r="I19" s="901">
        <f t="shared" si="1"/>
        <v>8.6999999999999993</v>
      </c>
      <c r="J19" s="901">
        <f t="shared" si="1"/>
        <v>8.6999999999999993</v>
      </c>
      <c r="K19" s="901">
        <f t="shared" si="1"/>
        <v>8.6999999999999993</v>
      </c>
    </row>
    <row r="20" spans="2:11" s="2" customFormat="1">
      <c r="B20" s="6"/>
      <c r="C20" s="6"/>
      <c r="D20" s="6"/>
      <c r="E20" s="6"/>
      <c r="F20" s="6"/>
      <c r="G20" s="6"/>
      <c r="H20" s="6"/>
      <c r="I20" s="6"/>
      <c r="J20" s="6"/>
      <c r="K20" s="6"/>
    </row>
    <row r="21" spans="2:11" s="2" customFormat="1">
      <c r="B21" s="6"/>
      <c r="C21" s="6"/>
      <c r="D21" s="1005" t="s">
        <v>532</v>
      </c>
      <c r="E21" s="6"/>
      <c r="F21" s="6"/>
      <c r="G21" s="6"/>
      <c r="H21" s="6"/>
      <c r="I21" s="6"/>
      <c r="J21" s="6"/>
      <c r="K21" s="6"/>
    </row>
    <row r="22" spans="2:11" s="2" customFormat="1" ht="12.75" customHeight="1">
      <c r="B22" s="6"/>
      <c r="C22" s="6"/>
      <c r="D22" s="1006"/>
      <c r="E22" s="6"/>
      <c r="F22" s="6"/>
      <c r="G22" s="6"/>
      <c r="H22" s="6"/>
      <c r="I22" s="6"/>
      <c r="J22" s="6"/>
      <c r="K22" s="6"/>
    </row>
    <row r="23" spans="2:11">
      <c r="C23" s="6"/>
      <c r="D23" s="1007"/>
      <c r="E23" s="6"/>
    </row>
    <row r="24" spans="2:11">
      <c r="B24" s="6" t="s">
        <v>533</v>
      </c>
      <c r="C24" s="6"/>
      <c r="D24" s="944">
        <v>42460</v>
      </c>
    </row>
    <row r="25" spans="2:11">
      <c r="B25" s="6"/>
      <c r="C25" s="6"/>
      <c r="D25" s="26"/>
      <c r="E25" s="27"/>
      <c r="F25" s="27"/>
    </row>
    <row r="26" spans="2:11">
      <c r="B26" s="158" t="s">
        <v>534</v>
      </c>
      <c r="C26" s="6"/>
      <c r="D26" s="945">
        <v>42460</v>
      </c>
      <c r="E26" s="27"/>
      <c r="F26" s="27"/>
    </row>
    <row r="27" spans="2:11">
      <c r="B27" s="158"/>
      <c r="C27" s="6"/>
      <c r="D27" s="26"/>
      <c r="E27" s="27"/>
      <c r="F27" s="27"/>
    </row>
    <row r="28" spans="2:11">
      <c r="B28" s="6"/>
      <c r="D28" s="296" t="s">
        <v>413</v>
      </c>
      <c r="E28" s="27"/>
      <c r="F28" s="27"/>
    </row>
    <row r="29" spans="2:11">
      <c r="B29" t="s">
        <v>535</v>
      </c>
      <c r="D29" s="946">
        <v>157.2537189</v>
      </c>
    </row>
    <row r="30" spans="2:11">
      <c r="B30" t="s">
        <v>536</v>
      </c>
      <c r="D30" s="946">
        <v>2895.9462810999999</v>
      </c>
    </row>
    <row r="31" spans="2:11">
      <c r="D31" s="599"/>
    </row>
    <row r="32" spans="2:11">
      <c r="B32" t="s">
        <v>537</v>
      </c>
      <c r="D32" s="946">
        <v>152.30000000000001</v>
      </c>
    </row>
    <row r="33" spans="2:4">
      <c r="B33" t="s">
        <v>538</v>
      </c>
      <c r="D33" s="946">
        <v>2400.3999999999996</v>
      </c>
    </row>
    <row r="34" spans="2:4">
      <c r="D34" s="599"/>
    </row>
    <row r="35" spans="2:4">
      <c r="B35" s="29" t="s">
        <v>539</v>
      </c>
      <c r="D35" s="901">
        <f>D29-D32</f>
        <v>4.9537188999999842</v>
      </c>
    </row>
    <row r="36" spans="2:4">
      <c r="B36" s="29" t="s">
        <v>540</v>
      </c>
      <c r="D36" s="901">
        <f>D30-D33</f>
        <v>495.54628110000021</v>
      </c>
    </row>
    <row r="37" spans="2:4">
      <c r="D37" s="599"/>
    </row>
    <row r="38" spans="2:4">
      <c r="B38" t="s">
        <v>541</v>
      </c>
      <c r="D38" s="946">
        <v>110.10270626183113</v>
      </c>
    </row>
    <row r="39" spans="2:4">
      <c r="B39" t="s">
        <v>542</v>
      </c>
      <c r="D39" s="946">
        <v>1.2921347159790584</v>
      </c>
    </row>
  </sheetData>
  <sheetProtection algorithmName="SHA-512" hashValue="emRiounRzCPpNe/5BEa10/a78FVwQWP4uPZFu+G/jwI6PeBG6rC80mk8agE00kHvUn7KFHj0LJgdpYjQ4RYpWw==" saltValue="3/5WkiF6N3yjg+h3VbU0BQ==" spinCount="100000" sheet="1" formatCells="0" formatColumns="0" formatRows="0" insertColumns="0" insertRows="0" insertHyperlinks="0" deleteColumns="0" deleteRows="0" sort="0" autoFilter="0" pivotTables="0"/>
  <mergeCells count="1">
    <mergeCell ref="D21:D23"/>
  </mergeCells>
  <conditionalFormatting sqref="D6:J6">
    <cfRule type="expression" dxfId="16" priority="20">
      <formula>AND(D$4="Actuals",E$4="Forecast")</formula>
    </cfRule>
  </conditionalFormatting>
  <conditionalFormatting sqref="K11">
    <cfRule type="expression" dxfId="15" priority="14">
      <formula>K$5="Forecast"</formula>
    </cfRule>
    <cfRule type="expression" dxfId="14" priority="15">
      <formula>K$5="Actuals"</formula>
    </cfRule>
  </conditionalFormatting>
  <conditionalFormatting sqref="D8:K8">
    <cfRule type="expression" dxfId="13" priority="18">
      <formula>D$5="Forecast"</formula>
    </cfRule>
    <cfRule type="expression" dxfId="12" priority="19">
      <formula>D$5="Actuals"</formula>
    </cfRule>
  </conditionalFormatting>
  <conditionalFormatting sqref="K10">
    <cfRule type="expression" dxfId="11" priority="16">
      <formula>K$5="Forecast"</formula>
    </cfRule>
    <cfRule type="expression" dxfId="10" priority="17">
      <formula>K$5="Actuals"</formula>
    </cfRule>
  </conditionalFormatting>
  <conditionalFormatting sqref="D5:K6">
    <cfRule type="expression" dxfId="9" priority="13">
      <formula>AND(D$5="Actuals",E$5="Forecast")</formula>
    </cfRule>
  </conditionalFormatting>
  <conditionalFormatting sqref="D21">
    <cfRule type="expression" dxfId="8" priority="10">
      <formula>AND(E$4="Actuals",F$4="Forecast")</formula>
    </cfRule>
  </conditionalFormatting>
  <conditionalFormatting sqref="K6">
    <cfRule type="expression" dxfId="7" priority="116">
      <formula>AND(K$4="Actuals",#REF!="Forecast")</formula>
    </cfRule>
  </conditionalFormatting>
  <conditionalFormatting sqref="K5">
    <cfRule type="expression" dxfId="6" priority="118">
      <formula>AND(K$5="Actuals",#REF!="Forecast")</formula>
    </cfRule>
  </conditionalFormatting>
  <conditionalFormatting sqref="D10:J11">
    <cfRule type="expression" dxfId="5" priority="3">
      <formula>D$5="Forecast"</formula>
    </cfRule>
    <cfRule type="expression" dxfId="4" priority="4">
      <formula>D$5="Actuals"</formula>
    </cfRule>
  </conditionalFormatting>
  <conditionalFormatting sqref="D17:K18">
    <cfRule type="expression" dxfId="3" priority="1">
      <formula>D$5="Forecast"</formula>
    </cfRule>
    <cfRule type="expression" dxfId="2" priority="2">
      <formula>D$5="Actuals"</formula>
    </cfRule>
  </conditionalFormatting>
  <pageMargins left="0.70866141732283472" right="0.70866141732283472" top="0.74803149606299213" bottom="0.74803149606299213" header="0.31496062992125984" footer="0.31496062992125984"/>
  <pageSetup paperSize="8" scale="88" orientation="landscape" r:id="rId1"/>
  <customProperties>
    <customPr name="EpmWorksheetKeyString_GUID" r:id="rId2"/>
  </customPropertie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B26" sqref="B26"/>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18" customFormat="1" ht="20.25">
      <c r="A1" s="856" t="s">
        <v>543</v>
      </c>
      <c r="B1" s="732"/>
      <c r="C1" s="211"/>
      <c r="D1" s="211"/>
      <c r="E1" s="211"/>
      <c r="F1" s="211"/>
      <c r="G1" s="211"/>
      <c r="H1" s="211"/>
      <c r="I1" s="212"/>
      <c r="J1" s="212"/>
      <c r="K1" s="213"/>
      <c r="L1" s="876"/>
      <c r="M1" s="20"/>
      <c r="N1" s="20"/>
      <c r="O1" s="19" t="s">
        <v>183</v>
      </c>
      <c r="P1" s="20"/>
      <c r="Q1" s="20"/>
      <c r="R1" s="20"/>
      <c r="S1" s="20"/>
    </row>
    <row r="2" spans="1:19" s="18" customFormat="1" ht="20.25">
      <c r="A2" s="725" t="str">
        <f>'RFPR cover'!C5</f>
        <v>NGET (SO)</v>
      </c>
      <c r="B2" s="720"/>
      <c r="C2" s="16"/>
      <c r="D2" s="16"/>
      <c r="E2" s="16"/>
      <c r="F2" s="16"/>
      <c r="G2" s="16"/>
      <c r="H2" s="16"/>
      <c r="I2" s="15"/>
      <c r="J2" s="15"/>
      <c r="K2" s="15"/>
      <c r="L2" s="93"/>
      <c r="M2" s="20"/>
      <c r="N2" s="20"/>
      <c r="O2" s="19" t="s">
        <v>183</v>
      </c>
      <c r="P2" s="20"/>
      <c r="Q2" s="20"/>
      <c r="R2" s="20"/>
      <c r="S2" s="20"/>
    </row>
    <row r="3" spans="1:19" s="18" customFormat="1" ht="20.25">
      <c r="A3" s="728">
        <f>'RFPR cover'!C7</f>
        <v>2020</v>
      </c>
      <c r="B3" s="735"/>
      <c r="C3" s="214"/>
      <c r="D3" s="214"/>
      <c r="E3" s="214"/>
      <c r="F3" s="214"/>
      <c r="G3" s="214"/>
      <c r="H3" s="214"/>
      <c r="I3" s="210"/>
      <c r="J3" s="210"/>
      <c r="K3" s="210"/>
      <c r="L3" s="215"/>
      <c r="M3" s="20"/>
      <c r="N3" s="20"/>
      <c r="O3" s="19" t="s">
        <v>183</v>
      </c>
      <c r="P3" s="20"/>
      <c r="Q3" s="20"/>
      <c r="R3" s="20"/>
      <c r="S3" s="20"/>
    </row>
    <row r="4" spans="1:19" s="2" customFormat="1" ht="12.75" customHeight="1">
      <c r="M4" s="20"/>
      <c r="N4" s="20"/>
      <c r="O4" s="19" t="s">
        <v>183</v>
      </c>
      <c r="P4" s="20"/>
      <c r="Q4" s="20"/>
      <c r="R4" s="20"/>
      <c r="S4" s="20"/>
    </row>
    <row r="5" spans="1:19" s="2" customFormat="1" ht="12.75" customHeight="1">
      <c r="B5" s="3"/>
      <c r="C5" s="3"/>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c r="M5" s="20"/>
      <c r="N5" s="20"/>
      <c r="O5" s="19" t="s">
        <v>183</v>
      </c>
      <c r="P5" s="20"/>
      <c r="Q5" s="20"/>
      <c r="R5" s="20"/>
      <c r="S5" s="20"/>
    </row>
    <row r="6" spans="1:19" s="2" customFormat="1">
      <c r="C6" s="6"/>
      <c r="D6" s="90">
        <f>'RFPR cover'!$C$13</f>
        <v>2014</v>
      </c>
      <c r="E6" s="91">
        <f>D6+1</f>
        <v>2015</v>
      </c>
      <c r="F6" s="91">
        <f t="shared" ref="F6:K6" si="0">E6+1</f>
        <v>2016</v>
      </c>
      <c r="G6" s="91">
        <f t="shared" si="0"/>
        <v>2017</v>
      </c>
      <c r="H6" s="91">
        <f t="shared" si="0"/>
        <v>2018</v>
      </c>
      <c r="I6" s="91">
        <f t="shared" si="0"/>
        <v>2019</v>
      </c>
      <c r="J6" s="91">
        <f t="shared" si="0"/>
        <v>2020</v>
      </c>
      <c r="K6" s="154">
        <f t="shared" si="0"/>
        <v>2021</v>
      </c>
    </row>
    <row r="7" spans="1:19">
      <c r="D7" s="606"/>
      <c r="E7" s="606"/>
      <c r="F7" s="606"/>
      <c r="G7" s="606"/>
      <c r="H7" s="606"/>
      <c r="I7" s="606"/>
      <c r="J7" s="606"/>
      <c r="K7" s="606"/>
    </row>
    <row r="8" spans="1:19">
      <c r="B8" s="34" t="s">
        <v>544</v>
      </c>
      <c r="C8" s="168" t="str">
        <f>'RFPR cover'!$C$14</f>
        <v>£m 09/10</v>
      </c>
      <c r="D8" s="603">
        <f>(D16+D21)/Data!C34</f>
        <v>0</v>
      </c>
      <c r="E8" s="603">
        <f>(E16+E21)/Data!D34</f>
        <v>0</v>
      </c>
      <c r="F8" s="603">
        <f>(F16+F21)/Data!E34</f>
        <v>0</v>
      </c>
      <c r="G8" s="603">
        <f>(G16+G21)/Data!F34</f>
        <v>0</v>
      </c>
      <c r="H8" s="603">
        <f>(H16+H21)/Data!G34</f>
        <v>0</v>
      </c>
      <c r="I8" s="603">
        <f>(I16+I21)/Data!H34</f>
        <v>0</v>
      </c>
      <c r="J8" s="603">
        <f>(J16+J21)/Data!I34</f>
        <v>0</v>
      </c>
      <c r="K8" s="603">
        <f>(K16+K21)/Data!J34</f>
        <v>0</v>
      </c>
    </row>
    <row r="9" spans="1:19">
      <c r="D9" s="606"/>
      <c r="E9" s="606"/>
      <c r="F9" s="606"/>
      <c r="G9" s="606"/>
      <c r="H9" s="606"/>
      <c r="I9" s="606"/>
      <c r="J9" s="606"/>
      <c r="K9" s="606"/>
    </row>
    <row r="10" spans="1:19">
      <c r="B10" s="6" t="s">
        <v>545</v>
      </c>
      <c r="D10" s="606"/>
      <c r="E10" s="606"/>
      <c r="F10" s="606"/>
      <c r="G10" s="606"/>
      <c r="H10" s="606"/>
      <c r="I10" s="606"/>
      <c r="J10" s="606"/>
      <c r="K10" s="606"/>
    </row>
    <row r="11" spans="1:19">
      <c r="B11" s="30" t="s">
        <v>546</v>
      </c>
      <c r="C11" s="112" t="s">
        <v>297</v>
      </c>
      <c r="D11" s="526"/>
      <c r="E11" s="527"/>
      <c r="F11" s="527"/>
      <c r="G11" s="527"/>
      <c r="H11" s="527"/>
      <c r="I11" s="527"/>
      <c r="J11" s="527"/>
      <c r="K11" s="528"/>
    </row>
    <row r="12" spans="1:19">
      <c r="B12" s="30" t="s">
        <v>546</v>
      </c>
      <c r="C12" s="112" t="s">
        <v>297</v>
      </c>
      <c r="D12" s="526"/>
      <c r="E12" s="527"/>
      <c r="F12" s="527"/>
      <c r="G12" s="527"/>
      <c r="H12" s="527"/>
      <c r="I12" s="527"/>
      <c r="J12" s="527"/>
      <c r="K12" s="528"/>
    </row>
    <row r="13" spans="1:19">
      <c r="B13" s="30" t="s">
        <v>494</v>
      </c>
      <c r="C13" s="112" t="s">
        <v>297</v>
      </c>
      <c r="D13" s="526"/>
      <c r="E13" s="527"/>
      <c r="F13" s="527"/>
      <c r="G13" s="527"/>
      <c r="H13" s="527"/>
      <c r="I13" s="527"/>
      <c r="J13" s="527"/>
      <c r="K13" s="528"/>
    </row>
    <row r="14" spans="1:19">
      <c r="B14" s="6" t="s">
        <v>547</v>
      </c>
      <c r="C14" s="112" t="s">
        <v>297</v>
      </c>
      <c r="D14" s="603">
        <f>SUM(D11:D13)</f>
        <v>0</v>
      </c>
      <c r="E14" s="604">
        <f t="shared" ref="E14:K14" si="1">SUM(E11:E13)</f>
        <v>0</v>
      </c>
      <c r="F14" s="604">
        <f t="shared" si="1"/>
        <v>0</v>
      </c>
      <c r="G14" s="604">
        <f t="shared" si="1"/>
        <v>0</v>
      </c>
      <c r="H14" s="604">
        <f t="shared" si="1"/>
        <v>0</v>
      </c>
      <c r="I14" s="604">
        <f t="shared" si="1"/>
        <v>0</v>
      </c>
      <c r="J14" s="604">
        <f t="shared" si="1"/>
        <v>0</v>
      </c>
      <c r="K14" s="605">
        <f t="shared" si="1"/>
        <v>0</v>
      </c>
    </row>
    <row r="15" spans="1:19">
      <c r="B15" s="21" t="s">
        <v>548</v>
      </c>
      <c r="C15" s="112" t="s">
        <v>297</v>
      </c>
      <c r="D15" s="526"/>
      <c r="E15" s="527"/>
      <c r="F15" s="527"/>
      <c r="G15" s="527"/>
      <c r="H15" s="527"/>
      <c r="I15" s="527"/>
      <c r="J15" s="527"/>
      <c r="K15" s="528"/>
    </row>
    <row r="16" spans="1:19">
      <c r="B16" s="34" t="s">
        <v>549</v>
      </c>
      <c r="C16" s="112" t="s">
        <v>297</v>
      </c>
      <c r="D16" s="603">
        <f>D14-D15</f>
        <v>0</v>
      </c>
      <c r="E16" s="603">
        <f t="shared" ref="E16:K16" si="2">E14-E15</f>
        <v>0</v>
      </c>
      <c r="F16" s="603">
        <f t="shared" si="2"/>
        <v>0</v>
      </c>
      <c r="G16" s="603">
        <f t="shared" si="2"/>
        <v>0</v>
      </c>
      <c r="H16" s="603">
        <f t="shared" si="2"/>
        <v>0</v>
      </c>
      <c r="I16" s="603">
        <f t="shared" si="2"/>
        <v>0</v>
      </c>
      <c r="J16" s="603">
        <f t="shared" si="2"/>
        <v>0</v>
      </c>
      <c r="K16" s="603">
        <f t="shared" si="2"/>
        <v>0</v>
      </c>
    </row>
    <row r="18" spans="2:11">
      <c r="B18" s="6" t="s">
        <v>550</v>
      </c>
      <c r="D18" s="606"/>
      <c r="E18" s="606"/>
      <c r="F18" s="606"/>
      <c r="G18" s="606"/>
      <c r="H18" s="606"/>
      <c r="I18" s="606"/>
      <c r="J18" s="606"/>
      <c r="K18" s="606"/>
    </row>
    <row r="19" spans="2:11">
      <c r="B19" s="677" t="s">
        <v>551</v>
      </c>
      <c r="C19" s="112" t="s">
        <v>297</v>
      </c>
      <c r="D19" s="526"/>
      <c r="E19" s="527"/>
      <c r="F19" s="527"/>
      <c r="G19" s="527"/>
      <c r="H19" s="527"/>
      <c r="I19" s="527"/>
      <c r="J19" s="527"/>
      <c r="K19" s="528"/>
    </row>
    <row r="20" spans="2:11">
      <c r="B20" s="21" t="s">
        <v>548</v>
      </c>
      <c r="C20" s="112" t="s">
        <v>297</v>
      </c>
      <c r="D20" s="526"/>
      <c r="E20" s="527"/>
      <c r="F20" s="527"/>
      <c r="G20" s="527"/>
      <c r="H20" s="527"/>
      <c r="I20" s="527"/>
      <c r="J20" s="527"/>
      <c r="K20" s="528"/>
    </row>
    <row r="21" spans="2:11">
      <c r="B21" s="34" t="s">
        <v>552</v>
      </c>
      <c r="C21" s="112" t="s">
        <v>297</v>
      </c>
      <c r="D21" s="603">
        <f>D19-D20</f>
        <v>0</v>
      </c>
      <c r="E21" s="603">
        <f t="shared" ref="E21:K21" si="3">E19-E20</f>
        <v>0</v>
      </c>
      <c r="F21" s="603">
        <f t="shared" si="3"/>
        <v>0</v>
      </c>
      <c r="G21" s="603">
        <f t="shared" si="3"/>
        <v>0</v>
      </c>
      <c r="H21" s="603">
        <f t="shared" si="3"/>
        <v>0</v>
      </c>
      <c r="I21" s="603">
        <f t="shared" si="3"/>
        <v>0</v>
      </c>
      <c r="J21" s="603">
        <f t="shared" si="3"/>
        <v>0</v>
      </c>
      <c r="K21" s="603">
        <f t="shared" si="3"/>
        <v>0</v>
      </c>
    </row>
  </sheetData>
  <sheetProtection algorithmName="SHA-512" hashValue="Y64eaqL//P1mZeliETv1oDPRnG6JZrwkX2vz9g6RAn6qSNiIdVZM7t7L10bIh5zAfDOu3r3omsUtqHMN+EuNAQ==" saltValue="71Vf3GhjY+7AOijHKDEejw==" spinCount="100000" sheet="1" formatCells="0" formatColumns="0" formatRows="0" insertColumns="0" insertRows="0" insertHyperlinks="0" deleteColumns="0" deleteRows="0" sort="0" autoFilter="0" pivotTables="0"/>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U268"/>
  <sheetViews>
    <sheetView showGridLines="0" zoomScale="69" zoomScaleNormal="69" workbookViewId="0">
      <pane ySplit="4" topLeftCell="A24" activePane="bottomLeft" state="frozen"/>
      <selection activeCell="B75" sqref="A1:XFD1048576"/>
      <selection pane="bottomLeft" activeCell="B39" sqref="B39"/>
    </sheetView>
  </sheetViews>
  <sheetFormatPr defaultRowHeight="12.75"/>
  <cols>
    <col min="1" max="1" width="8.375" customWidth="1"/>
    <col min="2" max="2" width="35.125" customWidth="1"/>
    <col min="8" max="8" width="10.125" bestFit="1" customWidth="1"/>
    <col min="14" max="14" width="9" customWidth="1"/>
  </cols>
  <sheetData>
    <row r="1" spans="1:14" ht="20.25">
      <c r="A1" s="856" t="s">
        <v>20</v>
      </c>
      <c r="B1" s="857"/>
      <c r="C1" s="857"/>
      <c r="D1" s="857"/>
      <c r="E1" s="857"/>
      <c r="F1" s="857"/>
      <c r="G1" s="857"/>
      <c r="H1" s="857"/>
      <c r="I1" s="857"/>
      <c r="J1" s="857"/>
      <c r="K1" s="857"/>
      <c r="L1" s="857"/>
      <c r="M1" s="857"/>
      <c r="N1" s="858"/>
    </row>
    <row r="2" spans="1:14" ht="20.25">
      <c r="A2" s="725" t="str">
        <f>'RFPR cover'!C5</f>
        <v>NGET (SO)</v>
      </c>
      <c r="B2" s="726"/>
      <c r="C2" s="726"/>
      <c r="D2" s="726"/>
      <c r="E2" s="726"/>
      <c r="F2" s="726"/>
      <c r="G2" s="726"/>
      <c r="H2" s="726"/>
      <c r="I2" s="726"/>
      <c r="J2" s="726"/>
      <c r="K2" s="726"/>
      <c r="L2" s="726"/>
      <c r="M2" s="726"/>
      <c r="N2" s="727"/>
    </row>
    <row r="3" spans="1:14" ht="20.25">
      <c r="A3" s="728">
        <f>'RFPR cover'!C7</f>
        <v>2020</v>
      </c>
      <c r="B3" s="729"/>
      <c r="C3" s="729"/>
      <c r="D3" s="729"/>
      <c r="E3" s="729"/>
      <c r="F3" s="729"/>
      <c r="G3" s="729"/>
      <c r="H3" s="729"/>
      <c r="I3" s="729"/>
      <c r="J3" s="729"/>
      <c r="K3" s="729"/>
      <c r="L3" s="729"/>
      <c r="M3" s="729"/>
      <c r="N3" s="730"/>
    </row>
    <row r="6" spans="1:14">
      <c r="A6" s="17"/>
      <c r="B6" s="859">
        <v>2018</v>
      </c>
      <c r="C6" s="860" t="s">
        <v>21</v>
      </c>
      <c r="D6" s="9"/>
      <c r="E6" s="9"/>
      <c r="F6" s="674"/>
      <c r="G6" s="9"/>
    </row>
    <row r="7" spans="1:14">
      <c r="A7" s="17"/>
      <c r="B7" s="859">
        <v>2019</v>
      </c>
      <c r="C7" s="860" t="s">
        <v>22</v>
      </c>
      <c r="D7" s="9"/>
      <c r="E7" s="9"/>
      <c r="F7" s="9"/>
      <c r="G7" s="9"/>
    </row>
    <row r="8" spans="1:14">
      <c r="A8" s="17"/>
      <c r="B8" s="859">
        <v>2020</v>
      </c>
      <c r="C8" s="860" t="s">
        <v>23</v>
      </c>
      <c r="D8" s="10"/>
      <c r="E8" s="10"/>
      <c r="F8" s="10"/>
      <c r="G8" s="10"/>
    </row>
    <row r="9" spans="1:14">
      <c r="A9" s="17"/>
      <c r="B9" s="859">
        <v>2021</v>
      </c>
      <c r="C9" s="860" t="s">
        <v>24</v>
      </c>
      <c r="D9" s="9"/>
      <c r="E9" s="9"/>
      <c r="F9" s="9"/>
      <c r="G9" s="9"/>
    </row>
    <row r="10" spans="1:14">
      <c r="A10" s="17"/>
      <c r="B10" s="859">
        <v>2022</v>
      </c>
      <c r="C10" s="860" t="s">
        <v>25</v>
      </c>
      <c r="D10" s="9"/>
      <c r="E10" s="9"/>
      <c r="F10" s="9"/>
    </row>
    <row r="11" spans="1:14">
      <c r="A11" s="17"/>
      <c r="B11" s="859">
        <v>2023</v>
      </c>
      <c r="C11" s="860" t="s">
        <v>26</v>
      </c>
      <c r="D11" s="10"/>
      <c r="E11" s="10"/>
      <c r="F11" s="10"/>
    </row>
    <row r="12" spans="1:14">
      <c r="A12" s="17"/>
      <c r="B12" s="9"/>
      <c r="C12" s="9"/>
      <c r="D12" s="9"/>
      <c r="E12" s="9"/>
      <c r="F12" s="9"/>
    </row>
    <row r="13" spans="1:14" ht="75" customHeight="1">
      <c r="A13" s="17"/>
      <c r="B13" s="861" t="s">
        <v>27</v>
      </c>
      <c r="C13" s="451" t="s">
        <v>28</v>
      </c>
      <c r="D13" s="451" t="s">
        <v>29</v>
      </c>
      <c r="E13" s="451" t="s">
        <v>30</v>
      </c>
      <c r="F13" s="451" t="s">
        <v>31</v>
      </c>
      <c r="G13" s="452" t="s">
        <v>32</v>
      </c>
    </row>
    <row r="14" spans="1:14">
      <c r="A14" s="17"/>
      <c r="B14" s="121" t="s">
        <v>33</v>
      </c>
      <c r="C14" s="128">
        <v>2010</v>
      </c>
      <c r="D14" s="122" t="str">
        <f>IF(VALUE(C14)&lt;='RFPR cover'!$C$7,"Actual","Forecast")</f>
        <v>Actual</v>
      </c>
      <c r="E14" s="305">
        <v>215.767</v>
      </c>
      <c r="F14" s="402">
        <v>221.75</v>
      </c>
      <c r="G14" s="123">
        <v>0.28000000000000003</v>
      </c>
      <c r="H14" s="675"/>
      <c r="J14" s="676"/>
    </row>
    <row r="15" spans="1:14">
      <c r="A15" s="17"/>
      <c r="B15" s="124" t="s">
        <v>34</v>
      </c>
      <c r="C15" s="129">
        <v>2011</v>
      </c>
      <c r="D15" s="125" t="str">
        <f>IF(VALUE(C15)&lt;='RFPR cover'!$C$7,"Actual","Forecast")</f>
        <v>Actual</v>
      </c>
      <c r="E15" s="306">
        <v>226.47499999999999</v>
      </c>
      <c r="F15" s="403">
        <v>233.45</v>
      </c>
      <c r="G15" s="126">
        <v>0.28000000000000003</v>
      </c>
      <c r="H15" s="675"/>
      <c r="J15" s="676"/>
    </row>
    <row r="16" spans="1:14" ht="14.25" customHeight="1">
      <c r="A16" s="17"/>
      <c r="B16" s="124" t="s">
        <v>35</v>
      </c>
      <c r="C16" s="129">
        <v>2012</v>
      </c>
      <c r="D16" s="125" t="str">
        <f>IF(VALUE(C16)&lt;='RFPR cover'!$C$7,"Actual","Forecast")</f>
        <v>Actual</v>
      </c>
      <c r="E16" s="306">
        <v>237.34200000000001</v>
      </c>
      <c r="F16" s="403">
        <v>241.65</v>
      </c>
      <c r="G16" s="126">
        <v>0.26</v>
      </c>
      <c r="H16" s="675"/>
      <c r="J16" s="676"/>
    </row>
    <row r="17" spans="2:10">
      <c r="B17" s="124" t="s">
        <v>36</v>
      </c>
      <c r="C17" s="129">
        <v>2013</v>
      </c>
      <c r="D17" s="125" t="str">
        <f>IF(VALUE(C17)&lt;='RFPR cover'!$C$7,"Actual","Forecast")</f>
        <v>Actual</v>
      </c>
      <c r="E17" s="306">
        <v>244.67500000000001</v>
      </c>
      <c r="F17" s="403">
        <v>249.1</v>
      </c>
      <c r="G17" s="126">
        <v>0.24</v>
      </c>
      <c r="H17" s="675"/>
      <c r="J17" s="676"/>
    </row>
    <row r="18" spans="2:10">
      <c r="B18" s="124" t="s">
        <v>37</v>
      </c>
      <c r="C18" s="129">
        <v>2014</v>
      </c>
      <c r="D18" s="125" t="str">
        <f>IF(VALUE(C18)&lt;='RFPR cover'!$C$7,"Actual","Forecast")</f>
        <v>Actual</v>
      </c>
      <c r="E18" s="306">
        <v>251.733</v>
      </c>
      <c r="F18" s="403">
        <v>255.25</v>
      </c>
      <c r="G18" s="126">
        <v>0.23</v>
      </c>
      <c r="H18" s="675"/>
      <c r="I18" s="422"/>
      <c r="J18" s="676"/>
    </row>
    <row r="19" spans="2:10">
      <c r="B19" s="124" t="s">
        <v>38</v>
      </c>
      <c r="C19" s="129">
        <v>2015</v>
      </c>
      <c r="D19" s="125" t="str">
        <f>IF(VALUE(C19)&lt;='RFPR cover'!$C$7,"Actual","Forecast")</f>
        <v>Actual</v>
      </c>
      <c r="E19" s="306">
        <v>256.66699999999997</v>
      </c>
      <c r="F19" s="403">
        <v>257.55</v>
      </c>
      <c r="G19" s="126">
        <v>0.21</v>
      </c>
      <c r="H19" s="675"/>
      <c r="I19" s="422"/>
      <c r="J19" s="676"/>
    </row>
    <row r="20" spans="2:10">
      <c r="B20" s="124" t="s">
        <v>39</v>
      </c>
      <c r="C20" s="129">
        <v>2016</v>
      </c>
      <c r="D20" s="125" t="str">
        <f>IF(VALUE(C20)&lt;='RFPR cover'!$C$7,"Actual","Forecast")</f>
        <v>Actual</v>
      </c>
      <c r="E20" s="306">
        <v>259.43299999999999</v>
      </c>
      <c r="F20" s="403">
        <v>261.25</v>
      </c>
      <c r="G20" s="126">
        <v>0.2</v>
      </c>
      <c r="H20" s="675"/>
      <c r="I20" s="422"/>
      <c r="J20" s="676"/>
    </row>
    <row r="21" spans="2:10">
      <c r="B21" s="124" t="s">
        <v>40</v>
      </c>
      <c r="C21" s="129">
        <v>2017</v>
      </c>
      <c r="D21" s="125" t="str">
        <f>IF(VALUE(C21)&lt;='RFPR cover'!$C$7,"Actual","Forecast")</f>
        <v>Actual</v>
      </c>
      <c r="E21" s="306">
        <v>264.99200000000002</v>
      </c>
      <c r="F21" s="403">
        <v>269.95000000000005</v>
      </c>
      <c r="G21" s="126">
        <v>0.2</v>
      </c>
      <c r="H21" s="675"/>
      <c r="I21" s="422"/>
      <c r="J21" s="676"/>
    </row>
    <row r="22" spans="2:10">
      <c r="B22" s="124" t="s">
        <v>21</v>
      </c>
      <c r="C22" s="129">
        <v>2018</v>
      </c>
      <c r="D22" s="125" t="str">
        <f>IF(VALUE(C22)&lt;='RFPR cover'!$C$7,"Actual","Forecast")</f>
        <v>Actual</v>
      </c>
      <c r="E22" s="306">
        <v>274.90800000000002</v>
      </c>
      <c r="F22" s="403">
        <v>279</v>
      </c>
      <c r="G22" s="126">
        <v>0.19</v>
      </c>
      <c r="H22" s="675"/>
      <c r="I22" s="422"/>
      <c r="J22" s="676"/>
    </row>
    <row r="23" spans="2:10">
      <c r="B23" s="405" t="s">
        <v>22</v>
      </c>
      <c r="C23" s="406">
        <v>2019</v>
      </c>
      <c r="D23" s="125" t="str">
        <f>IF(VALUE(C23)&lt;='RFPR cover'!$C$7,"Actual","Forecast")</f>
        <v>Actual</v>
      </c>
      <c r="E23" s="306">
        <v>283.30799999999999</v>
      </c>
      <c r="F23" s="403">
        <v>286.64999999999998</v>
      </c>
      <c r="G23" s="126">
        <v>0.19</v>
      </c>
      <c r="H23" s="675"/>
      <c r="J23" s="676"/>
    </row>
    <row r="24" spans="2:10">
      <c r="B24" s="405" t="s">
        <v>23</v>
      </c>
      <c r="C24" s="406">
        <v>2020</v>
      </c>
      <c r="D24" s="125" t="str">
        <f>IF(VALUE(C24)&lt;='RFPR cover'!$C$7,"Actual","Forecast")</f>
        <v>Actual</v>
      </c>
      <c r="E24" s="951">
        <v>290.642</v>
      </c>
      <c r="F24" s="404">
        <v>292.60000000000002</v>
      </c>
      <c r="G24" s="126">
        <v>0.19</v>
      </c>
      <c r="H24" s="749" t="s">
        <v>41</v>
      </c>
      <c r="J24" s="676"/>
    </row>
    <row r="25" spans="2:10">
      <c r="B25" s="405" t="s">
        <v>24</v>
      </c>
      <c r="C25" s="406">
        <v>2021</v>
      </c>
      <c r="D25" s="125" t="str">
        <f>IF(VALUE(C25)&lt;='RFPR cover'!$C$7,"Actual","Forecast")</f>
        <v>Forecast</v>
      </c>
      <c r="E25" s="404">
        <f t="shared" ref="E25:F27" si="0">E24*(1+INDEX($D$43:$J$43,0,MATCH($C25,$D$42:$J$42,0)))</f>
        <v>295.58291399999996</v>
      </c>
      <c r="F25" s="404">
        <f t="shared" si="0"/>
        <v>297.57420000000002</v>
      </c>
      <c r="G25" s="126">
        <v>0.19</v>
      </c>
      <c r="H25" s="675"/>
      <c r="J25" s="676"/>
    </row>
    <row r="26" spans="2:10">
      <c r="B26" s="405" t="s">
        <v>25</v>
      </c>
      <c r="C26" s="406">
        <v>2022</v>
      </c>
      <c r="D26" s="125" t="str">
        <f>IF(VALUE(C26)&lt;='RFPR cover'!$C$7,"Actual","Forecast")</f>
        <v>Forecast</v>
      </c>
      <c r="E26" s="404">
        <f t="shared" si="0"/>
        <v>301.86405092249998</v>
      </c>
      <c r="F26" s="404">
        <f t="shared" si="0"/>
        <v>303.89765175000002</v>
      </c>
      <c r="G26" s="126">
        <v>0.19</v>
      </c>
      <c r="H26" s="675"/>
      <c r="J26" s="676"/>
    </row>
    <row r="27" spans="2:10">
      <c r="B27" s="405" t="s">
        <v>26</v>
      </c>
      <c r="C27" s="406">
        <v>2023</v>
      </c>
      <c r="D27" s="125" t="str">
        <f>IF(VALUE(C27)&lt;='RFPR cover'!$C$7,"Actual","Forecast")</f>
        <v>Forecast</v>
      </c>
      <c r="E27" s="404">
        <f t="shared" si="0"/>
        <v>309.63705023375434</v>
      </c>
      <c r="F27" s="404">
        <f t="shared" si="0"/>
        <v>311.72301628256253</v>
      </c>
      <c r="G27" s="126">
        <v>0.19</v>
      </c>
      <c r="H27" s="675"/>
      <c r="J27" s="676"/>
    </row>
    <row r="28" spans="2:10">
      <c r="B28" s="405" t="s">
        <v>42</v>
      </c>
      <c r="C28" s="406">
        <v>2024</v>
      </c>
      <c r="D28" s="125" t="str">
        <f>IF(VALUE(C28)&lt;='RFPR cover'!$C$7,"Actual","Forecast")</f>
        <v>Forecast</v>
      </c>
      <c r="E28" s="308"/>
      <c r="F28" s="308"/>
      <c r="G28" s="126">
        <v>0.19</v>
      </c>
    </row>
    <row r="29" spans="2:10">
      <c r="B29" s="405" t="s">
        <v>43</v>
      </c>
      <c r="C29" s="406">
        <v>2025</v>
      </c>
      <c r="D29" s="125" t="str">
        <f>IF(VALUE(C29)&lt;='RFPR cover'!$C$7,"Actual","Forecast")</f>
        <v>Forecast</v>
      </c>
      <c r="E29" s="308"/>
      <c r="F29" s="308"/>
      <c r="G29" s="126">
        <v>0.19</v>
      </c>
    </row>
    <row r="30" spans="2:10">
      <c r="B30" s="407" t="s">
        <v>44</v>
      </c>
      <c r="C30" s="408">
        <v>2026</v>
      </c>
      <c r="D30" s="127" t="str">
        <f>IF(VALUE(C30)&lt;='RFPR cover'!$C$7,"Actual","Forecast")</f>
        <v>Forecast</v>
      </c>
      <c r="E30" s="307"/>
      <c r="F30" s="307"/>
      <c r="G30" s="126">
        <v>0.19</v>
      </c>
    </row>
    <row r="31" spans="2:10">
      <c r="B31" s="62"/>
      <c r="C31" s="50"/>
      <c r="D31" s="50"/>
      <c r="E31" s="50"/>
      <c r="F31" s="50"/>
    </row>
    <row r="32" spans="2:10">
      <c r="B32" s="62"/>
      <c r="C32" s="862" t="str">
        <f>IF(C33&lt;='RFPR cover'!$C$7,"Actuals","Forecast")</f>
        <v>Actuals</v>
      </c>
      <c r="D32" s="863" t="str">
        <f>IF(D33&lt;='RFPR cover'!$C$7,"Actuals","Forecast")</f>
        <v>Actuals</v>
      </c>
      <c r="E32" s="863" t="str">
        <f>IF(E33&lt;='RFPR cover'!$C$7,"Actuals","Forecast")</f>
        <v>Actuals</v>
      </c>
      <c r="F32" s="863" t="str">
        <f>IF(F33&lt;='RFPR cover'!$C$7,"Actuals","Forecast")</f>
        <v>Actuals</v>
      </c>
      <c r="G32" s="863" t="str">
        <f>IF(G33&lt;='RFPR cover'!$C$7,"Actuals","Forecast")</f>
        <v>Actuals</v>
      </c>
      <c r="H32" s="863" t="str">
        <f>IF(H33&lt;='RFPR cover'!$C$7,"Actuals","Forecast")</f>
        <v>Actuals</v>
      </c>
      <c r="I32" s="863" t="str">
        <f>IF(I33&lt;='RFPR cover'!$C$7,"Actuals","Forecast")</f>
        <v>Actuals</v>
      </c>
      <c r="J32" s="864" t="str">
        <f>IF(J33&lt;='RFPR cover'!$C$7,"Actuals","Forecast")</f>
        <v>Forecast</v>
      </c>
    </row>
    <row r="33" spans="2:14" ht="15.75" customHeight="1">
      <c r="B33" s="241"/>
      <c r="C33" s="63">
        <f>'RFPR cover'!$C$13</f>
        <v>2014</v>
      </c>
      <c r="D33" s="64">
        <f t="shared" ref="D33:J33" si="1">C33+1</f>
        <v>2015</v>
      </c>
      <c r="E33" s="64">
        <f t="shared" si="1"/>
        <v>2016</v>
      </c>
      <c r="F33" s="64">
        <f t="shared" si="1"/>
        <v>2017</v>
      </c>
      <c r="G33" s="64">
        <f t="shared" si="1"/>
        <v>2018</v>
      </c>
      <c r="H33" s="64">
        <f t="shared" si="1"/>
        <v>2019</v>
      </c>
      <c r="I33" s="64">
        <f t="shared" si="1"/>
        <v>2020</v>
      </c>
      <c r="J33" s="264">
        <f t="shared" si="1"/>
        <v>2021</v>
      </c>
    </row>
    <row r="34" spans="2:14" ht="15.75" customHeight="1">
      <c r="B34" s="400" t="s">
        <v>45</v>
      </c>
      <c r="C34" s="398">
        <f>INDEX(Data!$E$14:$E$30,MATCH(C$33,Data!$C$14:$C$30,0),0)/IF('RFPR cover'!$C$6="ED1",Data!$E$17,Data!$E$14)</f>
        <v>1.1666890673736021</v>
      </c>
      <c r="D34" s="395">
        <f>INDEX(Data!$E$14:$E$30,MATCH(D$33,Data!$C$14:$C$30,0),0)/IF('RFPR cover'!$C$6="ED1",Data!$E$17,Data!$E$14)</f>
        <v>1.1895563269638081</v>
      </c>
      <c r="E34" s="395">
        <f>INDEX(Data!$E$14:$E$30,MATCH(E$33,Data!$C$14:$C$30,0),0)/IF('RFPR cover'!$C$6="ED1",Data!$E$17,Data!$E$14)</f>
        <v>1.2023757108362261</v>
      </c>
      <c r="F34" s="395">
        <f>INDEX(Data!$E$14:$E$30,MATCH(F$33,Data!$C$14:$C$30,0),0)/IF('RFPR cover'!$C$6="ED1",Data!$E$17,Data!$E$14)</f>
        <v>1.2281396135646323</v>
      </c>
      <c r="G34" s="395">
        <f>INDEX(Data!$E$14:$E$30,MATCH(G$33,Data!$C$14:$C$30,0),0)/IF('RFPR cover'!$C$6="ED1",Data!$E$17,Data!$E$14)</f>
        <v>1.2740965949380583</v>
      </c>
      <c r="H34" s="395">
        <f>INDEX(Data!$E$14:$E$30,MATCH(H$33,Data!$C$14:$C$30,0),0)/IF('RFPR cover'!$C$6="ED1",Data!$E$17,Data!$E$14)</f>
        <v>1.3130274787154661</v>
      </c>
      <c r="I34" s="396">
        <f>INDEX(Data!$E$14:$E$30,MATCH(I$33,Data!$C$14:$C$30,0),0)/IF('RFPR cover'!$C$6="ED1",Data!$E$17,Data!$E$14)</f>
        <v>1.3470178479563604</v>
      </c>
      <c r="J34" s="397">
        <f>INDEX(Data!$E$14:$E$30,MATCH(J$33,Data!$C$14:$C$30,0),0)/IF('RFPR cover'!$C$6="ED1",Data!$E$17,Data!$E$14)</f>
        <v>1.3699171513716184</v>
      </c>
    </row>
    <row r="35" spans="2:14" ht="15.75" customHeight="1">
      <c r="B35" s="401" t="s">
        <v>31</v>
      </c>
      <c r="C35" s="399">
        <f>INDEX(Data!$F$14:$F$30,MATCH(C$33,Data!$C$14:$C$30,0),0)/IF('RFPR cover'!$C$6="ED1",Data!$E$17,Data!$E$14)</f>
        <v>1.1829890576408812</v>
      </c>
      <c r="D35" s="399">
        <f>INDEX(Data!$F$14:$F$30,MATCH(D$33,Data!$C$14:$C$30,0),0)/IF('RFPR cover'!$C$6="ED1",Data!$E$17,Data!$E$14)</f>
        <v>1.1936487043894572</v>
      </c>
      <c r="E35" s="399">
        <f>INDEX(Data!$F$14:$F$30,MATCH(E$33,Data!$C$14:$C$30,0),0)/IF('RFPR cover'!$C$6="ED1",Data!$E$17,Data!$E$14)</f>
        <v>1.2107968317676012</v>
      </c>
      <c r="F35" s="399">
        <f>INDEX(Data!$F$14:$F$30,MATCH(F$33,Data!$C$14:$C$30,0),0)/IF('RFPR cover'!$C$6="ED1",Data!$E$17,Data!$E$14)</f>
        <v>1.2511181042513455</v>
      </c>
      <c r="G35" s="399">
        <f>INDEX(Data!$F$14:$F$30,MATCH(G$33,Data!$C$14:$C$30,0),0)/IF('RFPR cover'!$C$6="ED1",Data!$E$17,Data!$E$14)</f>
        <v>1.2930614968924812</v>
      </c>
      <c r="H35" s="399">
        <f>INDEX(Data!$F$14:$F$30,MATCH(H$33,Data!$C$14:$C$30,0),0)/IF('RFPR cover'!$C$6="ED1",Data!$E$17,Data!$E$14)</f>
        <v>1.3285164089040491</v>
      </c>
      <c r="I35" s="399">
        <f>INDEX(Data!$F$14:$F$30,MATCH(I$33,Data!$C$14:$C$30,0),0)/IF('RFPR cover'!$C$6="ED1",Data!$E$17,Data!$E$14)</f>
        <v>1.3560924515797135</v>
      </c>
      <c r="J35" s="399">
        <f>INDEX(Data!$F$14:$F$30,MATCH(J$33,Data!$C$14:$C$30,0),0)/IF('RFPR cover'!$C$6="ED1",Data!$E$17,Data!$E$14)</f>
        <v>1.3791460232565684</v>
      </c>
    </row>
    <row r="36" spans="2:14">
      <c r="B36" s="401" t="s">
        <v>46</v>
      </c>
      <c r="C36" s="399">
        <f>INDEX(Data!$E$14:$E$30,MATCH(C$33,Data!$C$14:$C$30,0))/INDEX(Data!$E$14:$E$30,MATCH(C$33-1,Data!$C$14:$C$30,0))</f>
        <v>1.0288464289363441</v>
      </c>
      <c r="D36" s="399">
        <f>INDEX(Data!$E$14:$E$30,MATCH(D$33,Data!$C$14:$C$30,0))/INDEX(Data!$E$14:$E$30,MATCH(D$33-1,Data!$C$14:$C$30,0))</f>
        <v>1.0196001318857677</v>
      </c>
      <c r="E36" s="399">
        <f>INDEX(Data!$E$14:$E$30,MATCH(E$33,Data!$C$14:$C$30,0))/INDEX(Data!$E$14:$E$30,MATCH(E$33-1,Data!$C$14:$C$30,0))</f>
        <v>1.0107766093810269</v>
      </c>
      <c r="F36" s="399">
        <f>INDEX(Data!$E$14:$E$30,MATCH(F$33,Data!$C$14:$C$30,0))/INDEX(Data!$E$14:$E$30,MATCH(F$33-1,Data!$C$14:$C$30,0))</f>
        <v>1.0214274976583551</v>
      </c>
      <c r="G36" s="399">
        <f>INDEX(Data!$E$14:$E$30,MATCH(G$33,Data!$C$14:$C$30,0))/INDEX(Data!$E$14:$E$30,MATCH(G$33-1,Data!$C$14:$C$30,0))</f>
        <v>1.0374199975848328</v>
      </c>
      <c r="H36" s="399">
        <f>INDEX(Data!$E$14:$E$30,MATCH(H$33,Data!$C$14:$C$30,0))/INDEX(Data!$E$14:$E$30,MATCH(H$33-1,Data!$C$14:$C$30,0))</f>
        <v>1.0305556768082411</v>
      </c>
      <c r="I36" s="399">
        <f>INDEX(Data!$E$14:$E$30,MATCH(I$33,Data!$C$14:$C$30,0))/INDEX(Data!$E$14:$E$30,MATCH(I$33-1,Data!$C$14:$C$30,0))</f>
        <v>1.0258870204865376</v>
      </c>
      <c r="J36" s="399">
        <f>INDEX(Data!$E$14:$E$30,MATCH(J$33,Data!$C$14:$C$30,0))/INDEX(Data!$E$14:$E$30,MATCH(J$33-1,Data!$C$14:$C$30,0))</f>
        <v>1.0169999999999999</v>
      </c>
    </row>
    <row r="37" spans="2:14" ht="15.75" customHeight="1">
      <c r="B37" s="6" t="s">
        <v>47</v>
      </c>
      <c r="F37" s="422"/>
    </row>
    <row r="38" spans="2:14">
      <c r="C38" s="415" t="s">
        <v>48</v>
      </c>
      <c r="D38" s="90">
        <v>2017</v>
      </c>
      <c r="E38" s="91">
        <f t="shared" ref="E38:J38" si="2">D38+1</f>
        <v>2018</v>
      </c>
      <c r="F38" s="91">
        <f t="shared" si="2"/>
        <v>2019</v>
      </c>
      <c r="G38" s="91">
        <f t="shared" si="2"/>
        <v>2020</v>
      </c>
      <c r="H38" s="91">
        <f t="shared" si="2"/>
        <v>2021</v>
      </c>
      <c r="I38" s="91">
        <f t="shared" si="2"/>
        <v>2022</v>
      </c>
      <c r="J38" s="154">
        <f t="shared" si="2"/>
        <v>2023</v>
      </c>
      <c r="K38" s="977" t="s">
        <v>49</v>
      </c>
      <c r="L38" s="977"/>
      <c r="M38" s="977"/>
    </row>
    <row r="39" spans="2:14">
      <c r="B39" t="s">
        <v>50</v>
      </c>
      <c r="C39" s="158"/>
      <c r="D39" s="607"/>
      <c r="E39" s="607"/>
      <c r="F39" s="607"/>
      <c r="G39" s="608">
        <v>1.6E-2</v>
      </c>
      <c r="H39" s="608">
        <v>0.02</v>
      </c>
      <c r="I39" s="608">
        <v>2.5000000000000001E-2</v>
      </c>
      <c r="J39" s="609">
        <v>2.8000000000000001E-2</v>
      </c>
      <c r="K39" s="978" t="s">
        <v>51</v>
      </c>
      <c r="L39" s="978"/>
      <c r="M39" s="978"/>
      <c r="N39" s="749" t="s">
        <v>41</v>
      </c>
    </row>
    <row r="41" spans="2:14">
      <c r="B41" s="6" t="s">
        <v>52</v>
      </c>
    </row>
    <row r="42" spans="2:14">
      <c r="C42" s="414" t="s">
        <v>53</v>
      </c>
      <c r="D42" s="90">
        <v>2017</v>
      </c>
      <c r="E42" s="91">
        <f t="shared" ref="E42:J42" si="3">D42+1</f>
        <v>2018</v>
      </c>
      <c r="F42" s="91">
        <f t="shared" si="3"/>
        <v>2019</v>
      </c>
      <c r="G42" s="91">
        <f t="shared" si="3"/>
        <v>2020</v>
      </c>
      <c r="H42" s="91">
        <f t="shared" si="3"/>
        <v>2021</v>
      </c>
      <c r="I42" s="91">
        <f t="shared" si="3"/>
        <v>2022</v>
      </c>
      <c r="J42" s="154">
        <f t="shared" si="3"/>
        <v>2023</v>
      </c>
    </row>
    <row r="43" spans="2:14">
      <c r="B43" t="s">
        <v>54</v>
      </c>
      <c r="D43" s="468"/>
      <c r="E43" s="469"/>
      <c r="F43" s="469"/>
      <c r="G43" s="610">
        <f>(F39*0.75)+(G39*0.25)</f>
        <v>4.0000000000000001E-3</v>
      </c>
      <c r="H43" s="610">
        <f>(G39*0.75)+(H39*0.25)</f>
        <v>1.7000000000000001E-2</v>
      </c>
      <c r="I43" s="610">
        <f>(H39*0.75)+(I39*0.25)</f>
        <v>2.1249999999999998E-2</v>
      </c>
      <c r="J43" s="611">
        <f>(I39*0.75)+(J39*0.25)</f>
        <v>2.5750000000000002E-2</v>
      </c>
    </row>
    <row r="45" spans="2:14">
      <c r="B45" s="865" t="str">
        <f>"Selected Capitalisation rates for "&amp;'RFPR cover'!C5</f>
        <v>Selected Capitalisation rates for NGET (SO)</v>
      </c>
      <c r="C45" s="225"/>
      <c r="D45" s="225"/>
      <c r="E45" s="225"/>
      <c r="F45" s="225"/>
      <c r="G45" s="225"/>
      <c r="H45" s="225"/>
      <c r="I45" s="225"/>
      <c r="J45" s="225"/>
      <c r="K45" s="225"/>
      <c r="L45" s="225"/>
      <c r="M45" s="866"/>
    </row>
    <row r="46" spans="2:14">
      <c r="B46" s="159"/>
      <c r="C46" s="28"/>
      <c r="D46" s="28"/>
      <c r="E46" s="28"/>
      <c r="F46" s="28"/>
      <c r="G46" s="28"/>
      <c r="H46" s="28"/>
      <c r="I46" s="28"/>
      <c r="J46" s="28"/>
      <c r="K46" s="28"/>
      <c r="L46" s="28"/>
      <c r="M46" s="160"/>
    </row>
    <row r="47" spans="2:14">
      <c r="B47" s="159"/>
      <c r="C47" s="928" t="s">
        <v>55</v>
      </c>
      <c r="D47" s="28"/>
      <c r="E47" s="28"/>
      <c r="F47" s="28"/>
      <c r="G47" s="28"/>
      <c r="H47" s="28"/>
      <c r="I47" s="28"/>
      <c r="J47" s="28"/>
      <c r="K47" s="28"/>
      <c r="L47" s="28"/>
      <c r="M47" s="160"/>
    </row>
    <row r="48" spans="2:14">
      <c r="B48" s="265" t="str">
        <f>INDEX($G$54:$G$57,MATCH(LEFT('RFPR cover'!$C$6,2),Data!$E$54:$E$57,0),0)</f>
        <v>Totex</v>
      </c>
      <c r="C48" s="929">
        <f>INDEX($F$73:$F$100,MATCH('RFPR cover'!$C$5,Data!$B$73:$B$100,0),0)</f>
        <v>0.27900000000000003</v>
      </c>
      <c r="D48" s="28"/>
      <c r="E48" s="28"/>
      <c r="F48" s="28"/>
      <c r="G48" s="28"/>
      <c r="H48" s="28"/>
      <c r="I48" s="28"/>
      <c r="J48" s="28"/>
      <c r="K48" s="28"/>
      <c r="L48" s="28"/>
      <c r="M48" s="160"/>
    </row>
    <row r="49" spans="2:20">
      <c r="B49" s="266"/>
      <c r="C49" s="28"/>
      <c r="D49" s="28"/>
      <c r="E49" s="28"/>
      <c r="F49" s="28"/>
      <c r="G49" s="28"/>
      <c r="H49" s="28"/>
      <c r="I49" s="28"/>
      <c r="J49" s="28"/>
      <c r="K49" s="28"/>
      <c r="L49" s="28"/>
      <c r="M49" s="160"/>
    </row>
    <row r="50" spans="2:20">
      <c r="B50" s="266"/>
      <c r="C50" s="63">
        <v>2014</v>
      </c>
      <c r="D50" s="64">
        <f t="shared" ref="D50:J50" si="4">C50+1</f>
        <v>2015</v>
      </c>
      <c r="E50" s="64">
        <f t="shared" si="4"/>
        <v>2016</v>
      </c>
      <c r="F50" s="64">
        <f t="shared" si="4"/>
        <v>2017</v>
      </c>
      <c r="G50" s="64">
        <f t="shared" si="4"/>
        <v>2018</v>
      </c>
      <c r="H50" s="64">
        <f t="shared" si="4"/>
        <v>2019</v>
      </c>
      <c r="I50" s="64">
        <f t="shared" si="4"/>
        <v>2020</v>
      </c>
      <c r="J50" s="64">
        <f t="shared" si="4"/>
        <v>2021</v>
      </c>
      <c r="K50" s="28"/>
      <c r="L50" s="28"/>
      <c r="M50" s="160"/>
    </row>
    <row r="51" spans="2:20">
      <c r="B51" s="265" t="str">
        <f>INDEX($J$54:$J$57,MATCH(LEFT('RFPR cover'!$C$6,2),Data!$E$54:$E$57,0),0)</f>
        <v>n/a</v>
      </c>
      <c r="C51" s="267">
        <f>IFERROR(INDEX(C$106:C$115,MATCH('RFPR cover'!$C$5,Data!$B$106:$B$115,0),0),0)</f>
        <v>0</v>
      </c>
      <c r="D51" s="252">
        <f>IFERROR(INDEX(D$106:D$115,MATCH('RFPR cover'!$C$5,Data!$B$106:$B$115,0),0),0)</f>
        <v>0</v>
      </c>
      <c r="E51" s="252">
        <f>IFERROR(INDEX(E$106:E$115,MATCH('RFPR cover'!$C$5,Data!$B$106:$B$115,0),0),0)</f>
        <v>0</v>
      </c>
      <c r="F51" s="252">
        <f>IFERROR(INDEX(F$106:F$115,MATCH('RFPR cover'!$C$5,Data!$B$106:$B$115,0),0),0)</f>
        <v>0</v>
      </c>
      <c r="G51" s="252">
        <f>IFERROR(INDEX(G$106:G$115,MATCH('RFPR cover'!$C$5,Data!$B$106:$B$115,0),0),0)</f>
        <v>0</v>
      </c>
      <c r="H51" s="252">
        <f>IFERROR(INDEX(H$106:H$115,MATCH('RFPR cover'!$C$5,Data!$B$106:$B$115,0),0),0)</f>
        <v>0</v>
      </c>
      <c r="I51" s="252">
        <f>IFERROR(INDEX(I$106:I$115,MATCH('RFPR cover'!$C$5,Data!$B$106:$B$115,0),0),0)</f>
        <v>0</v>
      </c>
      <c r="J51" s="252">
        <f>IFERROR(INDEX(J$106:J$115,MATCH('RFPR cover'!$C$5,Data!$B$106:$B$115,0),0),0)</f>
        <v>0</v>
      </c>
      <c r="K51" s="28"/>
      <c r="L51" s="28"/>
      <c r="M51" s="160"/>
    </row>
    <row r="52" spans="2:20">
      <c r="B52" s="246"/>
      <c r="C52" s="247"/>
      <c r="D52" s="247"/>
      <c r="E52" s="247"/>
      <c r="F52" s="247"/>
      <c r="G52" s="247"/>
      <c r="H52" s="247"/>
      <c r="I52" s="247"/>
      <c r="J52" s="247"/>
      <c r="K52" s="247"/>
      <c r="L52" s="247"/>
      <c r="M52" s="248"/>
    </row>
    <row r="53" spans="2:20">
      <c r="B53" s="28"/>
      <c r="C53" s="28"/>
      <c r="D53" s="28"/>
      <c r="E53" s="28"/>
      <c r="F53" s="28"/>
      <c r="G53" s="28"/>
      <c r="H53" s="28"/>
      <c r="I53" s="28"/>
      <c r="J53" s="28"/>
      <c r="K53" s="28"/>
    </row>
    <row r="54" spans="2:20">
      <c r="B54" s="256"/>
      <c r="C54" s="256"/>
      <c r="E54" s="253" t="s">
        <v>56</v>
      </c>
      <c r="F54" s="274" t="s">
        <v>57</v>
      </c>
      <c r="G54" s="982" t="s">
        <v>58</v>
      </c>
      <c r="H54" s="983"/>
      <c r="I54" s="984"/>
      <c r="J54" s="991" t="s">
        <v>59</v>
      </c>
      <c r="K54" s="992"/>
    </row>
    <row r="55" spans="2:20">
      <c r="B55" s="256"/>
      <c r="C55" s="256"/>
      <c r="E55" s="254" t="s">
        <v>60</v>
      </c>
      <c r="F55" s="275" t="s">
        <v>61</v>
      </c>
      <c r="G55" s="985" t="s">
        <v>58</v>
      </c>
      <c r="H55" s="986"/>
      <c r="I55" s="987"/>
      <c r="J55" s="993" t="s">
        <v>59</v>
      </c>
      <c r="K55" s="994"/>
    </row>
    <row r="56" spans="2:20">
      <c r="B56" s="256"/>
      <c r="C56" s="256"/>
      <c r="E56" s="254" t="s">
        <v>62</v>
      </c>
      <c r="F56" s="275" t="s">
        <v>61</v>
      </c>
      <c r="G56" s="985" t="s">
        <v>63</v>
      </c>
      <c r="H56" s="986"/>
      <c r="I56" s="987"/>
      <c r="J56" s="993" t="s">
        <v>64</v>
      </c>
      <c r="K56" s="994"/>
    </row>
    <row r="57" spans="2:20">
      <c r="B57" s="256"/>
      <c r="C57" s="256"/>
      <c r="E57" s="255" t="s">
        <v>65</v>
      </c>
      <c r="F57" s="276" t="s">
        <v>61</v>
      </c>
      <c r="G57" s="988" t="s">
        <v>66</v>
      </c>
      <c r="H57" s="989"/>
      <c r="I57" s="990"/>
      <c r="J57" s="995" t="s">
        <v>67</v>
      </c>
      <c r="K57" s="996"/>
    </row>
    <row r="58" spans="2:20">
      <c r="B58" s="256"/>
      <c r="C58" s="256"/>
      <c r="E58" s="256"/>
      <c r="F58" s="359"/>
      <c r="G58" s="360"/>
      <c r="H58" s="360"/>
      <c r="I58" s="360"/>
      <c r="J58" s="361"/>
      <c r="K58" s="361"/>
    </row>
    <row r="59" spans="2:20">
      <c r="B59" s="362"/>
      <c r="C59" s="362"/>
      <c r="D59" s="175"/>
      <c r="E59" s="362"/>
      <c r="F59" s="363"/>
      <c r="G59" s="364"/>
      <c r="H59" s="364"/>
      <c r="I59" s="364"/>
      <c r="J59" s="365"/>
      <c r="K59" s="365"/>
      <c r="L59" s="175"/>
      <c r="M59" s="175"/>
      <c r="N59" s="175"/>
      <c r="O59" s="175"/>
      <c r="P59" s="175"/>
      <c r="Q59" s="175"/>
      <c r="R59" s="175"/>
      <c r="S59" s="175"/>
      <c r="T59" s="175"/>
    </row>
    <row r="60" spans="2:20" s="18" customFormat="1">
      <c r="B60" s="322"/>
      <c r="C60" s="322"/>
      <c r="E60" s="322"/>
      <c r="F60" s="366"/>
      <c r="G60" s="367"/>
      <c r="H60" s="367"/>
      <c r="I60" s="367"/>
      <c r="J60" s="368"/>
      <c r="K60" s="368"/>
    </row>
    <row r="61" spans="2:20">
      <c r="B61" s="358" t="s">
        <v>68</v>
      </c>
      <c r="C61" s="719" t="s">
        <v>69</v>
      </c>
      <c r="I61" s="50"/>
    </row>
    <row r="62" spans="2:20">
      <c r="C62" s="90">
        <v>2014</v>
      </c>
      <c r="D62" s="91">
        <f t="shared" ref="D62:L62" si="5">C62+1</f>
        <v>2015</v>
      </c>
      <c r="E62" s="91">
        <f t="shared" si="5"/>
        <v>2016</v>
      </c>
      <c r="F62" s="91">
        <f t="shared" si="5"/>
        <v>2017</v>
      </c>
      <c r="G62" s="91">
        <f t="shared" si="5"/>
        <v>2018</v>
      </c>
      <c r="H62" s="91">
        <f t="shared" si="5"/>
        <v>2019</v>
      </c>
      <c r="I62" s="91">
        <f t="shared" si="5"/>
        <v>2020</v>
      </c>
      <c r="J62" s="91">
        <f t="shared" si="5"/>
        <v>2021</v>
      </c>
      <c r="K62" s="91">
        <f t="shared" si="5"/>
        <v>2022</v>
      </c>
      <c r="L62" s="154">
        <f t="shared" si="5"/>
        <v>2023</v>
      </c>
    </row>
    <row r="63" spans="2:20">
      <c r="B63" s="356" t="s">
        <v>70</v>
      </c>
      <c r="C63" s="867"/>
      <c r="D63" s="465"/>
      <c r="E63" s="354">
        <v>2.5499999999999998E-2</v>
      </c>
      <c r="F63" s="354">
        <v>2.3799999999999998E-2</v>
      </c>
      <c r="G63" s="354">
        <v>2.2200000000000001E-2</v>
      </c>
      <c r="H63" s="354">
        <v>1.9099999999999999E-2</v>
      </c>
      <c r="I63" s="354">
        <v>1.5800000000000002E-2</v>
      </c>
      <c r="J63" s="354">
        <v>1.09E-2</v>
      </c>
      <c r="K63" s="354">
        <v>1.09E-2</v>
      </c>
      <c r="L63" s="355">
        <v>1.09E-2</v>
      </c>
    </row>
    <row r="64" spans="2:20">
      <c r="B64" s="357" t="s">
        <v>71</v>
      </c>
      <c r="C64" s="453"/>
      <c r="D64" s="454"/>
      <c r="E64" s="324">
        <v>2.5499999999999998E-2</v>
      </c>
      <c r="F64" s="324">
        <v>2.4199999999999999E-2</v>
      </c>
      <c r="G64" s="324">
        <v>2.29E-2</v>
      </c>
      <c r="H64" s="324">
        <v>2.0899999999999998E-2</v>
      </c>
      <c r="I64" s="324">
        <v>1.9400000000000001E-2</v>
      </c>
      <c r="J64" s="324">
        <v>1.78E-2</v>
      </c>
      <c r="K64" s="324">
        <v>1.78E-2</v>
      </c>
      <c r="L64" s="325">
        <v>1.78E-2</v>
      </c>
    </row>
    <row r="65" spans="1:20">
      <c r="B65" s="357" t="s">
        <v>72</v>
      </c>
      <c r="C65" s="323">
        <v>2.92E-2</v>
      </c>
      <c r="D65" s="324">
        <v>2.5000000000000001E-2</v>
      </c>
      <c r="E65" s="324">
        <v>2.1499999999999998E-2</v>
      </c>
      <c r="F65" s="324">
        <v>1.7899999999999999E-2</v>
      </c>
      <c r="G65" s="324">
        <v>1.5100000000000001E-2</v>
      </c>
      <c r="H65" s="324">
        <v>1.1599999999999999E-2</v>
      </c>
      <c r="I65" s="324">
        <v>1.0200000000000001E-2</v>
      </c>
      <c r="J65" s="324">
        <v>1.01E-2</v>
      </c>
      <c r="K65" s="466"/>
      <c r="L65" s="467"/>
    </row>
    <row r="66" spans="1:20">
      <c r="B66" s="357" t="s">
        <v>73</v>
      </c>
      <c r="C66" s="323">
        <v>2.92E-2</v>
      </c>
      <c r="D66" s="324">
        <v>2.7199999999999998E-2</v>
      </c>
      <c r="E66" s="324">
        <v>2.5499999999999998E-2</v>
      </c>
      <c r="F66" s="324">
        <v>2.3800000000000002E-2</v>
      </c>
      <c r="G66" s="324">
        <v>2.2200000000000001E-2</v>
      </c>
      <c r="H66" s="324">
        <v>1.9099999999999999E-2</v>
      </c>
      <c r="I66" s="324">
        <v>1.5800000000000002E-2</v>
      </c>
      <c r="J66" s="750">
        <v>1.09E-2</v>
      </c>
      <c r="K66" s="466"/>
      <c r="L66" s="467"/>
      <c r="M66" s="748" t="s">
        <v>74</v>
      </c>
    </row>
    <row r="67" spans="1:20">
      <c r="B67" s="357" t="s">
        <v>62</v>
      </c>
      <c r="C67" s="323">
        <v>2.92E-2</v>
      </c>
      <c r="D67" s="324">
        <v>2.7199999999999998E-2</v>
      </c>
      <c r="E67" s="324">
        <v>2.5499999999999998E-2</v>
      </c>
      <c r="F67" s="324">
        <v>2.3800000000000002E-2</v>
      </c>
      <c r="G67" s="324">
        <v>2.2200000000000001E-2</v>
      </c>
      <c r="H67" s="324">
        <v>1.9099999999999999E-2</v>
      </c>
      <c r="I67" s="324">
        <v>1.5800000000000002E-2</v>
      </c>
      <c r="J67" s="324">
        <v>1.5800000000000002E-2</v>
      </c>
      <c r="K67" s="466"/>
      <c r="L67" s="467"/>
    </row>
    <row r="68" spans="1:20">
      <c r="B68" s="357" t="s">
        <v>65</v>
      </c>
      <c r="C68" s="323">
        <v>2.92E-2</v>
      </c>
      <c r="D68" s="324">
        <v>2.7199999999999998E-2</v>
      </c>
      <c r="E68" s="324">
        <v>2.5499999999999998E-2</v>
      </c>
      <c r="F68" s="324">
        <v>2.3800000000000002E-2</v>
      </c>
      <c r="G68" s="324">
        <v>2.2200000000000001E-2</v>
      </c>
      <c r="H68" s="324">
        <v>1.9099999999999999E-2</v>
      </c>
      <c r="I68" s="324">
        <v>1.5800000000000002E-2</v>
      </c>
      <c r="J68" s="750">
        <v>1.09E-2</v>
      </c>
      <c r="K68" s="466"/>
      <c r="L68" s="467"/>
      <c r="M68" s="748" t="s">
        <v>74</v>
      </c>
    </row>
    <row r="69" spans="1:20">
      <c r="I69" s="50"/>
    </row>
    <row r="70" spans="1:20">
      <c r="H70" s="50"/>
      <c r="K70" s="28"/>
      <c r="L70" s="28"/>
      <c r="M70" s="28"/>
      <c r="N70" s="28"/>
      <c r="O70" s="28"/>
      <c r="P70" s="28"/>
      <c r="Q70" s="28"/>
      <c r="R70" s="28"/>
      <c r="S70" s="28"/>
      <c r="T70" s="28"/>
    </row>
    <row r="71" spans="1:20" ht="38.25">
      <c r="B71" s="11"/>
      <c r="C71" s="57" t="s">
        <v>75</v>
      </c>
      <c r="D71" s="58" t="s">
        <v>76</v>
      </c>
      <c r="E71" s="58" t="s">
        <v>77</v>
      </c>
      <c r="F71" s="58" t="s">
        <v>78</v>
      </c>
      <c r="G71" s="58" t="s">
        <v>79</v>
      </c>
      <c r="H71" s="59" t="s">
        <v>80</v>
      </c>
      <c r="I71" s="930" t="s">
        <v>81</v>
      </c>
      <c r="J71" s="930" t="s">
        <v>82</v>
      </c>
      <c r="K71" s="979" t="s">
        <v>83</v>
      </c>
      <c r="L71" s="980"/>
      <c r="M71" s="980"/>
      <c r="N71" s="980"/>
      <c r="O71" s="980"/>
      <c r="P71" s="980"/>
      <c r="Q71" s="980"/>
      <c r="R71" s="980"/>
      <c r="S71" s="980"/>
      <c r="T71" s="981"/>
    </row>
    <row r="72" spans="1:20">
      <c r="A72" s="277" t="s">
        <v>4</v>
      </c>
      <c r="B72" s="51" t="s">
        <v>84</v>
      </c>
      <c r="C72" s="257"/>
      <c r="D72" s="53"/>
      <c r="E72" s="52"/>
      <c r="F72" s="52"/>
      <c r="G72" s="53"/>
      <c r="H72" s="54"/>
      <c r="I72" s="54"/>
      <c r="J72" s="342"/>
      <c r="K72" s="343">
        <v>2014</v>
      </c>
      <c r="L72" s="344">
        <f t="shared" ref="L72:T72" si="6">K72+1</f>
        <v>2015</v>
      </c>
      <c r="M72" s="344">
        <f t="shared" si="6"/>
        <v>2016</v>
      </c>
      <c r="N72" s="344">
        <f t="shared" si="6"/>
        <v>2017</v>
      </c>
      <c r="O72" s="344">
        <f t="shared" si="6"/>
        <v>2018</v>
      </c>
      <c r="P72" s="344">
        <f t="shared" si="6"/>
        <v>2019</v>
      </c>
      <c r="Q72" s="344">
        <f t="shared" si="6"/>
        <v>2020</v>
      </c>
      <c r="R72" s="344">
        <f t="shared" si="6"/>
        <v>2021</v>
      </c>
      <c r="S72" s="344">
        <f t="shared" si="6"/>
        <v>2022</v>
      </c>
      <c r="T72" s="345">
        <f t="shared" si="6"/>
        <v>2023</v>
      </c>
    </row>
    <row r="73" spans="1:20">
      <c r="A73" s="43" t="s">
        <v>56</v>
      </c>
      <c r="B73" s="55" t="s">
        <v>85</v>
      </c>
      <c r="C73" s="258">
        <v>0.06</v>
      </c>
      <c r="D73" s="259">
        <v>0.58109999999999995</v>
      </c>
      <c r="E73" s="260">
        <v>0.65</v>
      </c>
      <c r="F73" s="260">
        <v>0.68</v>
      </c>
      <c r="G73" s="283">
        <v>2016</v>
      </c>
      <c r="H73" s="284" t="str">
        <f t="shared" ref="H73:H97" si="7">VLOOKUP($A73,$E$54:$F$57,2,FALSE)</f>
        <v>£m 12/13</v>
      </c>
      <c r="I73" s="284" t="s">
        <v>86</v>
      </c>
      <c r="J73" s="342" t="s">
        <v>87</v>
      </c>
      <c r="K73" s="453"/>
      <c r="L73" s="454"/>
      <c r="M73" s="349">
        <f t="shared" ref="M73:M82" si="8">E$64</f>
        <v>2.5499999999999998E-2</v>
      </c>
      <c r="N73" s="349">
        <f t="shared" ref="N73:N82" si="9">F$64</f>
        <v>2.4199999999999999E-2</v>
      </c>
      <c r="O73" s="349">
        <f t="shared" ref="O73:O82" si="10">G$64</f>
        <v>2.29E-2</v>
      </c>
      <c r="P73" s="349">
        <f t="shared" ref="P73:P82" si="11">H$64</f>
        <v>2.0899999999999998E-2</v>
      </c>
      <c r="Q73" s="349">
        <f t="shared" ref="Q73:Q82" si="12">I$64</f>
        <v>1.9400000000000001E-2</v>
      </c>
      <c r="R73" s="349">
        <f t="shared" ref="R73:R82" si="13">J$64</f>
        <v>1.78E-2</v>
      </c>
      <c r="S73" s="349">
        <f t="shared" ref="S73:S82" si="14">K$64</f>
        <v>1.78E-2</v>
      </c>
      <c r="T73" s="353">
        <f t="shared" ref="T73:T82" si="15">L$64</f>
        <v>1.78E-2</v>
      </c>
    </row>
    <row r="74" spans="1:20">
      <c r="A74" s="43" t="s">
        <v>56</v>
      </c>
      <c r="B74" s="55" t="s">
        <v>88</v>
      </c>
      <c r="C74" s="258">
        <v>0.06</v>
      </c>
      <c r="D74" s="259">
        <v>0.55843703457782867</v>
      </c>
      <c r="E74" s="260">
        <v>0.65</v>
      </c>
      <c r="F74" s="260">
        <v>0.7</v>
      </c>
      <c r="G74" s="283">
        <v>2016</v>
      </c>
      <c r="H74" s="284" t="str">
        <f t="shared" si="7"/>
        <v>£m 12/13</v>
      </c>
      <c r="I74" s="284" t="s">
        <v>86</v>
      </c>
      <c r="J74" s="342" t="s">
        <v>87</v>
      </c>
      <c r="K74" s="453"/>
      <c r="L74" s="454"/>
      <c r="M74" s="349">
        <f t="shared" si="8"/>
        <v>2.5499999999999998E-2</v>
      </c>
      <c r="N74" s="349">
        <f t="shared" si="9"/>
        <v>2.4199999999999999E-2</v>
      </c>
      <c r="O74" s="349">
        <f t="shared" si="10"/>
        <v>2.29E-2</v>
      </c>
      <c r="P74" s="349">
        <f t="shared" si="11"/>
        <v>2.0899999999999998E-2</v>
      </c>
      <c r="Q74" s="349">
        <f t="shared" si="12"/>
        <v>1.9400000000000001E-2</v>
      </c>
      <c r="R74" s="349">
        <f t="shared" si="13"/>
        <v>1.78E-2</v>
      </c>
      <c r="S74" s="349">
        <f t="shared" si="14"/>
        <v>1.78E-2</v>
      </c>
      <c r="T74" s="353">
        <f t="shared" si="15"/>
        <v>1.78E-2</v>
      </c>
    </row>
    <row r="75" spans="1:20">
      <c r="A75" s="43" t="s">
        <v>56</v>
      </c>
      <c r="B75" s="55" t="s">
        <v>89</v>
      </c>
      <c r="C75" s="258">
        <v>0.06</v>
      </c>
      <c r="D75" s="259">
        <v>0.55843703457782867</v>
      </c>
      <c r="E75" s="260">
        <v>0.65</v>
      </c>
      <c r="F75" s="260">
        <v>0.72</v>
      </c>
      <c r="G75" s="283">
        <v>2016</v>
      </c>
      <c r="H75" s="284" t="str">
        <f t="shared" si="7"/>
        <v>£m 12/13</v>
      </c>
      <c r="I75" s="284" t="s">
        <v>86</v>
      </c>
      <c r="J75" s="342" t="s">
        <v>87</v>
      </c>
      <c r="K75" s="453"/>
      <c r="L75" s="454"/>
      <c r="M75" s="349">
        <f t="shared" si="8"/>
        <v>2.5499999999999998E-2</v>
      </c>
      <c r="N75" s="349">
        <f t="shared" si="9"/>
        <v>2.4199999999999999E-2</v>
      </c>
      <c r="O75" s="349">
        <f t="shared" si="10"/>
        <v>2.29E-2</v>
      </c>
      <c r="P75" s="349">
        <f t="shared" si="11"/>
        <v>2.0899999999999998E-2</v>
      </c>
      <c r="Q75" s="349">
        <f t="shared" si="12"/>
        <v>1.9400000000000001E-2</v>
      </c>
      <c r="R75" s="349">
        <f t="shared" si="13"/>
        <v>1.78E-2</v>
      </c>
      <c r="S75" s="349">
        <f t="shared" si="14"/>
        <v>1.78E-2</v>
      </c>
      <c r="T75" s="353">
        <f t="shared" si="15"/>
        <v>1.78E-2</v>
      </c>
    </row>
    <row r="76" spans="1:20">
      <c r="A76" s="43" t="s">
        <v>56</v>
      </c>
      <c r="B76" s="55" t="s">
        <v>90</v>
      </c>
      <c r="C76" s="258">
        <v>0.06</v>
      </c>
      <c r="D76" s="259">
        <v>0.53280000000000005</v>
      </c>
      <c r="E76" s="260">
        <v>0.65</v>
      </c>
      <c r="F76" s="260">
        <v>0.68</v>
      </c>
      <c r="G76" s="283">
        <v>2016</v>
      </c>
      <c r="H76" s="284" t="str">
        <f t="shared" si="7"/>
        <v>£m 12/13</v>
      </c>
      <c r="I76" s="284" t="s">
        <v>86</v>
      </c>
      <c r="J76" s="342" t="s">
        <v>87</v>
      </c>
      <c r="K76" s="453"/>
      <c r="L76" s="454"/>
      <c r="M76" s="349">
        <f t="shared" si="8"/>
        <v>2.5499999999999998E-2</v>
      </c>
      <c r="N76" s="349">
        <f t="shared" si="9"/>
        <v>2.4199999999999999E-2</v>
      </c>
      <c r="O76" s="349">
        <f t="shared" si="10"/>
        <v>2.29E-2</v>
      </c>
      <c r="P76" s="349">
        <f t="shared" si="11"/>
        <v>2.0899999999999998E-2</v>
      </c>
      <c r="Q76" s="349">
        <f t="shared" si="12"/>
        <v>1.9400000000000001E-2</v>
      </c>
      <c r="R76" s="349">
        <f t="shared" si="13"/>
        <v>1.78E-2</v>
      </c>
      <c r="S76" s="349">
        <f t="shared" si="14"/>
        <v>1.78E-2</v>
      </c>
      <c r="T76" s="353">
        <f t="shared" si="15"/>
        <v>1.78E-2</v>
      </c>
    </row>
    <row r="77" spans="1:20">
      <c r="A77" s="43" t="s">
        <v>56</v>
      </c>
      <c r="B77" s="55" t="s">
        <v>91</v>
      </c>
      <c r="C77" s="258">
        <v>0.06</v>
      </c>
      <c r="D77" s="259">
        <v>0.53280000000000005</v>
      </c>
      <c r="E77" s="260">
        <v>0.65</v>
      </c>
      <c r="F77" s="260">
        <v>0.68</v>
      </c>
      <c r="G77" s="283">
        <v>2016</v>
      </c>
      <c r="H77" s="284" t="str">
        <f t="shared" si="7"/>
        <v>£m 12/13</v>
      </c>
      <c r="I77" s="284" t="s">
        <v>86</v>
      </c>
      <c r="J77" s="342" t="s">
        <v>87</v>
      </c>
      <c r="K77" s="453"/>
      <c r="L77" s="454"/>
      <c r="M77" s="349">
        <f t="shared" si="8"/>
        <v>2.5499999999999998E-2</v>
      </c>
      <c r="N77" s="349">
        <f t="shared" si="9"/>
        <v>2.4199999999999999E-2</v>
      </c>
      <c r="O77" s="349">
        <f t="shared" si="10"/>
        <v>2.29E-2</v>
      </c>
      <c r="P77" s="349">
        <f t="shared" si="11"/>
        <v>2.0899999999999998E-2</v>
      </c>
      <c r="Q77" s="349">
        <f t="shared" si="12"/>
        <v>1.9400000000000001E-2</v>
      </c>
      <c r="R77" s="349">
        <f t="shared" si="13"/>
        <v>1.78E-2</v>
      </c>
      <c r="S77" s="349">
        <f t="shared" si="14"/>
        <v>1.78E-2</v>
      </c>
      <c r="T77" s="353">
        <f t="shared" si="15"/>
        <v>1.78E-2</v>
      </c>
    </row>
    <row r="78" spans="1:20">
      <c r="A78" s="43" t="s">
        <v>56</v>
      </c>
      <c r="B78" s="55" t="s">
        <v>92</v>
      </c>
      <c r="C78" s="258">
        <v>0.06</v>
      </c>
      <c r="D78" s="259">
        <v>0.53280000000000005</v>
      </c>
      <c r="E78" s="260">
        <v>0.65</v>
      </c>
      <c r="F78" s="260">
        <v>0.68</v>
      </c>
      <c r="G78" s="283">
        <v>2016</v>
      </c>
      <c r="H78" s="284" t="str">
        <f t="shared" si="7"/>
        <v>£m 12/13</v>
      </c>
      <c r="I78" s="284" t="s">
        <v>86</v>
      </c>
      <c r="J78" s="342" t="s">
        <v>87</v>
      </c>
      <c r="K78" s="453"/>
      <c r="L78" s="454"/>
      <c r="M78" s="349">
        <f t="shared" si="8"/>
        <v>2.5499999999999998E-2</v>
      </c>
      <c r="N78" s="349">
        <f t="shared" si="9"/>
        <v>2.4199999999999999E-2</v>
      </c>
      <c r="O78" s="349">
        <f t="shared" si="10"/>
        <v>2.29E-2</v>
      </c>
      <c r="P78" s="349">
        <f t="shared" si="11"/>
        <v>2.0899999999999998E-2</v>
      </c>
      <c r="Q78" s="349">
        <f t="shared" si="12"/>
        <v>1.9400000000000001E-2</v>
      </c>
      <c r="R78" s="349">
        <f t="shared" si="13"/>
        <v>1.78E-2</v>
      </c>
      <c r="S78" s="349">
        <f t="shared" si="14"/>
        <v>1.78E-2</v>
      </c>
      <c r="T78" s="353">
        <f t="shared" si="15"/>
        <v>1.78E-2</v>
      </c>
    </row>
    <row r="79" spans="1:20">
      <c r="A79" s="43" t="s">
        <v>56</v>
      </c>
      <c r="B79" s="55" t="s">
        <v>93</v>
      </c>
      <c r="C79" s="258">
        <v>0.06</v>
      </c>
      <c r="D79" s="259">
        <v>0.53500000000000003</v>
      </c>
      <c r="E79" s="260">
        <v>0.65</v>
      </c>
      <c r="F79" s="260">
        <v>0.8</v>
      </c>
      <c r="G79" s="283">
        <v>2016</v>
      </c>
      <c r="H79" s="284" t="str">
        <f t="shared" si="7"/>
        <v>£m 12/13</v>
      </c>
      <c r="I79" s="284" t="s">
        <v>86</v>
      </c>
      <c r="J79" s="342" t="s">
        <v>87</v>
      </c>
      <c r="K79" s="453"/>
      <c r="L79" s="454"/>
      <c r="M79" s="349">
        <f t="shared" si="8"/>
        <v>2.5499999999999998E-2</v>
      </c>
      <c r="N79" s="349">
        <f t="shared" si="9"/>
        <v>2.4199999999999999E-2</v>
      </c>
      <c r="O79" s="349">
        <f t="shared" si="10"/>
        <v>2.29E-2</v>
      </c>
      <c r="P79" s="349">
        <f t="shared" si="11"/>
        <v>2.0899999999999998E-2</v>
      </c>
      <c r="Q79" s="349">
        <f t="shared" si="12"/>
        <v>1.9400000000000001E-2</v>
      </c>
      <c r="R79" s="349">
        <f t="shared" si="13"/>
        <v>1.78E-2</v>
      </c>
      <c r="S79" s="349">
        <f t="shared" si="14"/>
        <v>1.78E-2</v>
      </c>
      <c r="T79" s="353">
        <f t="shared" si="15"/>
        <v>1.78E-2</v>
      </c>
    </row>
    <row r="80" spans="1:20">
      <c r="A80" s="43" t="s">
        <v>56</v>
      </c>
      <c r="B80" s="55" t="s">
        <v>94</v>
      </c>
      <c r="C80" s="258">
        <v>0.06</v>
      </c>
      <c r="D80" s="259">
        <v>0.53500000000000003</v>
      </c>
      <c r="E80" s="260">
        <v>0.65</v>
      </c>
      <c r="F80" s="260">
        <v>0.8</v>
      </c>
      <c r="G80" s="283">
        <v>2016</v>
      </c>
      <c r="H80" s="284" t="str">
        <f t="shared" si="7"/>
        <v>£m 12/13</v>
      </c>
      <c r="I80" s="284" t="s">
        <v>86</v>
      </c>
      <c r="J80" s="342" t="s">
        <v>87</v>
      </c>
      <c r="K80" s="453"/>
      <c r="L80" s="454"/>
      <c r="M80" s="349">
        <f t="shared" si="8"/>
        <v>2.5499999999999998E-2</v>
      </c>
      <c r="N80" s="349">
        <f t="shared" si="9"/>
        <v>2.4199999999999999E-2</v>
      </c>
      <c r="O80" s="349">
        <f t="shared" si="10"/>
        <v>2.29E-2</v>
      </c>
      <c r="P80" s="349">
        <f t="shared" si="11"/>
        <v>2.0899999999999998E-2</v>
      </c>
      <c r="Q80" s="349">
        <f t="shared" si="12"/>
        <v>1.9400000000000001E-2</v>
      </c>
      <c r="R80" s="349">
        <f t="shared" si="13"/>
        <v>1.78E-2</v>
      </c>
      <c r="S80" s="349">
        <f t="shared" si="14"/>
        <v>1.78E-2</v>
      </c>
      <c r="T80" s="353">
        <f t="shared" si="15"/>
        <v>1.78E-2</v>
      </c>
    </row>
    <row r="81" spans="1:21">
      <c r="A81" s="43" t="s">
        <v>56</v>
      </c>
      <c r="B81" s="55" t="s">
        <v>95</v>
      </c>
      <c r="C81" s="258">
        <v>0.06</v>
      </c>
      <c r="D81" s="259">
        <v>0.56469999999999998</v>
      </c>
      <c r="E81" s="260">
        <v>0.65</v>
      </c>
      <c r="F81" s="260">
        <v>0.62</v>
      </c>
      <c r="G81" s="283">
        <v>2016</v>
      </c>
      <c r="H81" s="284" t="str">
        <f t="shared" si="7"/>
        <v>£m 12/13</v>
      </c>
      <c r="I81" s="284" t="s">
        <v>86</v>
      </c>
      <c r="J81" s="342" t="s">
        <v>87</v>
      </c>
      <c r="K81" s="453"/>
      <c r="L81" s="454"/>
      <c r="M81" s="349">
        <f t="shared" si="8"/>
        <v>2.5499999999999998E-2</v>
      </c>
      <c r="N81" s="349">
        <f t="shared" si="9"/>
        <v>2.4199999999999999E-2</v>
      </c>
      <c r="O81" s="349">
        <f t="shared" si="10"/>
        <v>2.29E-2</v>
      </c>
      <c r="P81" s="349">
        <f t="shared" si="11"/>
        <v>2.0899999999999998E-2</v>
      </c>
      <c r="Q81" s="349">
        <f t="shared" si="12"/>
        <v>1.9400000000000001E-2</v>
      </c>
      <c r="R81" s="349">
        <f t="shared" si="13"/>
        <v>1.78E-2</v>
      </c>
      <c r="S81" s="349">
        <f t="shared" si="14"/>
        <v>1.78E-2</v>
      </c>
      <c r="T81" s="353">
        <f t="shared" si="15"/>
        <v>1.78E-2</v>
      </c>
    </row>
    <row r="82" spans="1:21">
      <c r="A82" s="43" t="s">
        <v>56</v>
      </c>
      <c r="B82" s="55" t="s">
        <v>96</v>
      </c>
      <c r="C82" s="258">
        <v>0.06</v>
      </c>
      <c r="D82" s="259">
        <v>0.56469999999999998</v>
      </c>
      <c r="E82" s="260">
        <v>0.65</v>
      </c>
      <c r="F82" s="260">
        <v>0.7</v>
      </c>
      <c r="G82" s="283">
        <v>2016</v>
      </c>
      <c r="H82" s="284" t="str">
        <f t="shared" si="7"/>
        <v>£m 12/13</v>
      </c>
      <c r="I82" s="284" t="s">
        <v>86</v>
      </c>
      <c r="J82" s="342" t="s">
        <v>87</v>
      </c>
      <c r="K82" s="453"/>
      <c r="L82" s="454"/>
      <c r="M82" s="349">
        <f t="shared" si="8"/>
        <v>2.5499999999999998E-2</v>
      </c>
      <c r="N82" s="349">
        <f t="shared" si="9"/>
        <v>2.4199999999999999E-2</v>
      </c>
      <c r="O82" s="349">
        <f t="shared" si="10"/>
        <v>2.29E-2</v>
      </c>
      <c r="P82" s="349">
        <f t="shared" si="11"/>
        <v>2.0899999999999998E-2</v>
      </c>
      <c r="Q82" s="349">
        <f t="shared" si="12"/>
        <v>1.9400000000000001E-2</v>
      </c>
      <c r="R82" s="349">
        <f t="shared" si="13"/>
        <v>1.78E-2</v>
      </c>
      <c r="S82" s="349">
        <f t="shared" si="14"/>
        <v>1.78E-2</v>
      </c>
      <c r="T82" s="353">
        <f t="shared" si="15"/>
        <v>1.78E-2</v>
      </c>
    </row>
    <row r="83" spans="1:21">
      <c r="A83" s="43" t="s">
        <v>56</v>
      </c>
      <c r="B83" s="55" t="s">
        <v>97</v>
      </c>
      <c r="C83" s="258">
        <v>6.4000000000000001E-2</v>
      </c>
      <c r="D83" s="259">
        <v>0.7</v>
      </c>
      <c r="E83" s="260">
        <v>0.65</v>
      </c>
      <c r="F83" s="260">
        <v>0.8</v>
      </c>
      <c r="G83" s="283">
        <v>2016</v>
      </c>
      <c r="H83" s="284" t="str">
        <f t="shared" si="7"/>
        <v>£m 12/13</v>
      </c>
      <c r="I83" s="284" t="s">
        <v>98</v>
      </c>
      <c r="J83" s="342" t="s">
        <v>99</v>
      </c>
      <c r="K83" s="453"/>
      <c r="L83" s="454"/>
      <c r="M83" s="349">
        <f t="shared" ref="M83:T86" si="16">E$63</f>
        <v>2.5499999999999998E-2</v>
      </c>
      <c r="N83" s="349">
        <f t="shared" si="16"/>
        <v>2.3799999999999998E-2</v>
      </c>
      <c r="O83" s="349">
        <f t="shared" si="16"/>
        <v>2.2200000000000001E-2</v>
      </c>
      <c r="P83" s="349">
        <f t="shared" si="16"/>
        <v>1.9099999999999999E-2</v>
      </c>
      <c r="Q83" s="349">
        <f t="shared" si="16"/>
        <v>1.5800000000000002E-2</v>
      </c>
      <c r="R83" s="349">
        <f t="shared" si="16"/>
        <v>1.09E-2</v>
      </c>
      <c r="S83" s="349">
        <f t="shared" si="16"/>
        <v>1.09E-2</v>
      </c>
      <c r="T83" s="353">
        <f t="shared" si="16"/>
        <v>1.09E-2</v>
      </c>
    </row>
    <row r="84" spans="1:21">
      <c r="A84" s="43" t="s">
        <v>56</v>
      </c>
      <c r="B84" s="55" t="s">
        <v>100</v>
      </c>
      <c r="C84" s="258">
        <v>6.4000000000000001E-2</v>
      </c>
      <c r="D84" s="259">
        <v>0.7</v>
      </c>
      <c r="E84" s="260">
        <v>0.65</v>
      </c>
      <c r="F84" s="260">
        <v>0.8</v>
      </c>
      <c r="G84" s="283">
        <v>2016</v>
      </c>
      <c r="H84" s="284" t="str">
        <f t="shared" si="7"/>
        <v>£m 12/13</v>
      </c>
      <c r="I84" s="284" t="s">
        <v>98</v>
      </c>
      <c r="J84" s="342" t="s">
        <v>99</v>
      </c>
      <c r="K84" s="453"/>
      <c r="L84" s="454"/>
      <c r="M84" s="349">
        <f t="shared" si="16"/>
        <v>2.5499999999999998E-2</v>
      </c>
      <c r="N84" s="349">
        <f t="shared" si="16"/>
        <v>2.3799999999999998E-2</v>
      </c>
      <c r="O84" s="349">
        <f t="shared" si="16"/>
        <v>2.2200000000000001E-2</v>
      </c>
      <c r="P84" s="349">
        <f t="shared" si="16"/>
        <v>1.9099999999999999E-2</v>
      </c>
      <c r="Q84" s="349">
        <f t="shared" si="16"/>
        <v>1.5800000000000002E-2</v>
      </c>
      <c r="R84" s="349">
        <f t="shared" si="16"/>
        <v>1.09E-2</v>
      </c>
      <c r="S84" s="349">
        <f t="shared" si="16"/>
        <v>1.09E-2</v>
      </c>
      <c r="T84" s="353">
        <f t="shared" si="16"/>
        <v>1.09E-2</v>
      </c>
    </row>
    <row r="85" spans="1:21">
      <c r="A85" s="43" t="s">
        <v>56</v>
      </c>
      <c r="B85" s="55" t="s">
        <v>101</v>
      </c>
      <c r="C85" s="258">
        <v>6.4000000000000001E-2</v>
      </c>
      <c r="D85" s="259">
        <v>0.7</v>
      </c>
      <c r="E85" s="260">
        <v>0.65</v>
      </c>
      <c r="F85" s="260">
        <v>0.8</v>
      </c>
      <c r="G85" s="283">
        <v>2016</v>
      </c>
      <c r="H85" s="284" t="str">
        <f t="shared" si="7"/>
        <v>£m 12/13</v>
      </c>
      <c r="I85" s="284" t="s">
        <v>98</v>
      </c>
      <c r="J85" s="342" t="s">
        <v>99</v>
      </c>
      <c r="K85" s="453"/>
      <c r="L85" s="454"/>
      <c r="M85" s="349">
        <f t="shared" si="16"/>
        <v>2.5499999999999998E-2</v>
      </c>
      <c r="N85" s="349">
        <f t="shared" si="16"/>
        <v>2.3799999999999998E-2</v>
      </c>
      <c r="O85" s="349">
        <f t="shared" si="16"/>
        <v>2.2200000000000001E-2</v>
      </c>
      <c r="P85" s="349">
        <f t="shared" si="16"/>
        <v>1.9099999999999999E-2</v>
      </c>
      <c r="Q85" s="349">
        <f t="shared" si="16"/>
        <v>1.5800000000000002E-2</v>
      </c>
      <c r="R85" s="349">
        <f t="shared" si="16"/>
        <v>1.09E-2</v>
      </c>
      <c r="S85" s="349">
        <f t="shared" si="16"/>
        <v>1.09E-2</v>
      </c>
      <c r="T85" s="353">
        <f t="shared" si="16"/>
        <v>1.09E-2</v>
      </c>
    </row>
    <row r="86" spans="1:21">
      <c r="A86" s="43" t="s">
        <v>56</v>
      </c>
      <c r="B86" s="55" t="s">
        <v>102</v>
      </c>
      <c r="C86" s="258">
        <v>6.4000000000000001E-2</v>
      </c>
      <c r="D86" s="259">
        <v>0.7</v>
      </c>
      <c r="E86" s="260">
        <v>0.65</v>
      </c>
      <c r="F86" s="260">
        <v>0.8</v>
      </c>
      <c r="G86" s="283">
        <v>2016</v>
      </c>
      <c r="H86" s="284" t="str">
        <f t="shared" si="7"/>
        <v>£m 12/13</v>
      </c>
      <c r="I86" s="284" t="s">
        <v>98</v>
      </c>
      <c r="J86" s="342" t="s">
        <v>99</v>
      </c>
      <c r="K86" s="453"/>
      <c r="L86" s="454"/>
      <c r="M86" s="349">
        <f t="shared" si="16"/>
        <v>2.5499999999999998E-2</v>
      </c>
      <c r="N86" s="349">
        <f t="shared" si="16"/>
        <v>2.3799999999999998E-2</v>
      </c>
      <c r="O86" s="349">
        <f t="shared" si="16"/>
        <v>2.2200000000000001E-2</v>
      </c>
      <c r="P86" s="349">
        <f t="shared" si="16"/>
        <v>1.9099999999999999E-2</v>
      </c>
      <c r="Q86" s="349">
        <f t="shared" si="16"/>
        <v>1.5800000000000002E-2</v>
      </c>
      <c r="R86" s="349">
        <f t="shared" si="16"/>
        <v>1.09E-2</v>
      </c>
      <c r="S86" s="349">
        <f t="shared" si="16"/>
        <v>1.09E-2</v>
      </c>
      <c r="T86" s="353">
        <f t="shared" si="16"/>
        <v>1.09E-2</v>
      </c>
    </row>
    <row r="87" spans="1:21">
      <c r="A87" s="43" t="s">
        <v>62</v>
      </c>
      <c r="B87" s="55" t="s">
        <v>103</v>
      </c>
      <c r="C87" s="258">
        <v>6.7000000000000004E-2</v>
      </c>
      <c r="D87" s="259">
        <v>0.63039999999999996</v>
      </c>
      <c r="E87" s="260">
        <v>0.65</v>
      </c>
      <c r="F87" s="260">
        <v>0.26634501855794862</v>
      </c>
      <c r="G87" s="283">
        <v>2014</v>
      </c>
      <c r="H87" s="284" t="str">
        <f t="shared" si="7"/>
        <v>£m 09/10</v>
      </c>
      <c r="I87" s="284" t="s">
        <v>86</v>
      </c>
      <c r="J87" s="342" t="s">
        <v>99</v>
      </c>
      <c r="K87" s="351">
        <f t="shared" ref="K87:R94" si="17">C$67</f>
        <v>2.92E-2</v>
      </c>
      <c r="L87" s="349">
        <f t="shared" si="17"/>
        <v>2.7199999999999998E-2</v>
      </c>
      <c r="M87" s="349">
        <f t="shared" si="17"/>
        <v>2.5499999999999998E-2</v>
      </c>
      <c r="N87" s="349">
        <f t="shared" si="17"/>
        <v>2.3800000000000002E-2</v>
      </c>
      <c r="O87" s="349">
        <f t="shared" si="17"/>
        <v>2.2200000000000001E-2</v>
      </c>
      <c r="P87" s="349">
        <f t="shared" si="17"/>
        <v>1.9099999999999999E-2</v>
      </c>
      <c r="Q87" s="349">
        <f t="shared" si="17"/>
        <v>1.5800000000000002E-2</v>
      </c>
      <c r="R87" s="349">
        <f t="shared" si="17"/>
        <v>1.5800000000000002E-2</v>
      </c>
      <c r="S87" s="454"/>
      <c r="T87" s="455"/>
    </row>
    <row r="88" spans="1:21">
      <c r="A88" s="43" t="s">
        <v>62</v>
      </c>
      <c r="B88" s="55" t="s">
        <v>104</v>
      </c>
      <c r="C88" s="258">
        <v>6.7000000000000004E-2</v>
      </c>
      <c r="D88" s="259">
        <v>0.63039999999999996</v>
      </c>
      <c r="E88" s="260">
        <v>0.65</v>
      </c>
      <c r="F88" s="260">
        <v>0.23469337831705597</v>
      </c>
      <c r="G88" s="283">
        <v>2014</v>
      </c>
      <c r="H88" s="284" t="str">
        <f t="shared" si="7"/>
        <v>£m 09/10</v>
      </c>
      <c r="I88" s="284" t="s">
        <v>86</v>
      </c>
      <c r="J88" s="342" t="s">
        <v>99</v>
      </c>
      <c r="K88" s="351">
        <f t="shared" si="17"/>
        <v>2.92E-2</v>
      </c>
      <c r="L88" s="349">
        <f t="shared" si="17"/>
        <v>2.7199999999999998E-2</v>
      </c>
      <c r="M88" s="349">
        <f t="shared" si="17"/>
        <v>2.5499999999999998E-2</v>
      </c>
      <c r="N88" s="349">
        <f t="shared" si="17"/>
        <v>2.3800000000000002E-2</v>
      </c>
      <c r="O88" s="349">
        <f t="shared" si="17"/>
        <v>2.2200000000000001E-2</v>
      </c>
      <c r="P88" s="349">
        <f t="shared" si="17"/>
        <v>1.9099999999999999E-2</v>
      </c>
      <c r="Q88" s="349">
        <f t="shared" si="17"/>
        <v>1.5800000000000002E-2</v>
      </c>
      <c r="R88" s="349">
        <f t="shared" si="17"/>
        <v>1.5800000000000002E-2</v>
      </c>
      <c r="S88" s="454"/>
      <c r="T88" s="455"/>
    </row>
    <row r="89" spans="1:21">
      <c r="A89" s="43" t="s">
        <v>62</v>
      </c>
      <c r="B89" s="55" t="s">
        <v>105</v>
      </c>
      <c r="C89" s="258">
        <v>6.7000000000000004E-2</v>
      </c>
      <c r="D89" s="259">
        <v>0.63039999999999996</v>
      </c>
      <c r="E89" s="260">
        <v>0.65</v>
      </c>
      <c r="F89" s="260">
        <v>0.24946223864843597</v>
      </c>
      <c r="G89" s="283">
        <v>2014</v>
      </c>
      <c r="H89" s="284" t="str">
        <f t="shared" si="7"/>
        <v>£m 09/10</v>
      </c>
      <c r="I89" s="284" t="s">
        <v>86</v>
      </c>
      <c r="J89" s="342" t="s">
        <v>99</v>
      </c>
      <c r="K89" s="351">
        <f t="shared" si="17"/>
        <v>2.92E-2</v>
      </c>
      <c r="L89" s="349">
        <f t="shared" si="17"/>
        <v>2.7199999999999998E-2</v>
      </c>
      <c r="M89" s="349">
        <f t="shared" si="17"/>
        <v>2.5499999999999998E-2</v>
      </c>
      <c r="N89" s="349">
        <f t="shared" si="17"/>
        <v>2.3800000000000002E-2</v>
      </c>
      <c r="O89" s="349">
        <f t="shared" si="17"/>
        <v>2.2200000000000001E-2</v>
      </c>
      <c r="P89" s="349">
        <f t="shared" si="17"/>
        <v>1.9099999999999999E-2</v>
      </c>
      <c r="Q89" s="349">
        <f t="shared" si="17"/>
        <v>1.5800000000000002E-2</v>
      </c>
      <c r="R89" s="349">
        <f t="shared" si="17"/>
        <v>1.5800000000000002E-2</v>
      </c>
      <c r="S89" s="454"/>
      <c r="T89" s="455"/>
    </row>
    <row r="90" spans="1:21">
      <c r="A90" s="43" t="s">
        <v>62</v>
      </c>
      <c r="B90" s="55" t="s">
        <v>106</v>
      </c>
      <c r="C90" s="258">
        <v>6.7000000000000004E-2</v>
      </c>
      <c r="D90" s="259">
        <v>0.63039999999999996</v>
      </c>
      <c r="E90" s="260">
        <v>0.65</v>
      </c>
      <c r="F90" s="260">
        <v>0.26095352485819256</v>
      </c>
      <c r="G90" s="283">
        <v>2014</v>
      </c>
      <c r="H90" s="284" t="str">
        <f t="shared" si="7"/>
        <v>£m 09/10</v>
      </c>
      <c r="I90" s="284" t="s">
        <v>86</v>
      </c>
      <c r="J90" s="342" t="s">
        <v>99</v>
      </c>
      <c r="K90" s="351">
        <f t="shared" si="17"/>
        <v>2.92E-2</v>
      </c>
      <c r="L90" s="349">
        <f t="shared" si="17"/>
        <v>2.7199999999999998E-2</v>
      </c>
      <c r="M90" s="349">
        <f t="shared" si="17"/>
        <v>2.5499999999999998E-2</v>
      </c>
      <c r="N90" s="349">
        <f t="shared" si="17"/>
        <v>2.3800000000000002E-2</v>
      </c>
      <c r="O90" s="349">
        <f t="shared" si="17"/>
        <v>2.2200000000000001E-2</v>
      </c>
      <c r="P90" s="349">
        <f t="shared" si="17"/>
        <v>1.9099999999999999E-2</v>
      </c>
      <c r="Q90" s="349">
        <f t="shared" si="17"/>
        <v>1.5800000000000002E-2</v>
      </c>
      <c r="R90" s="349">
        <f t="shared" si="17"/>
        <v>1.5800000000000002E-2</v>
      </c>
      <c r="S90" s="454"/>
      <c r="T90" s="455"/>
    </row>
    <row r="91" spans="1:21">
      <c r="A91" s="43" t="s">
        <v>62</v>
      </c>
      <c r="B91" s="55" t="s">
        <v>107</v>
      </c>
      <c r="C91" s="258">
        <v>6.7000000000000004E-2</v>
      </c>
      <c r="D91" s="259">
        <v>0.63980000000000004</v>
      </c>
      <c r="E91" s="260">
        <v>0.65</v>
      </c>
      <c r="F91" s="260">
        <v>0.34984411379298247</v>
      </c>
      <c r="G91" s="283">
        <v>2014</v>
      </c>
      <c r="H91" s="284" t="str">
        <f t="shared" si="7"/>
        <v>£m 09/10</v>
      </c>
      <c r="I91" s="284" t="s">
        <v>86</v>
      </c>
      <c r="J91" s="342" t="s">
        <v>99</v>
      </c>
      <c r="K91" s="351">
        <f t="shared" si="17"/>
        <v>2.92E-2</v>
      </c>
      <c r="L91" s="349">
        <f t="shared" si="17"/>
        <v>2.7199999999999998E-2</v>
      </c>
      <c r="M91" s="349">
        <f t="shared" si="17"/>
        <v>2.5499999999999998E-2</v>
      </c>
      <c r="N91" s="349">
        <f t="shared" si="17"/>
        <v>2.3800000000000002E-2</v>
      </c>
      <c r="O91" s="349">
        <f t="shared" si="17"/>
        <v>2.2200000000000001E-2</v>
      </c>
      <c r="P91" s="349">
        <f t="shared" si="17"/>
        <v>1.9099999999999999E-2</v>
      </c>
      <c r="Q91" s="349">
        <f t="shared" si="17"/>
        <v>1.5800000000000002E-2</v>
      </c>
      <c r="R91" s="349">
        <f t="shared" si="17"/>
        <v>1.5800000000000002E-2</v>
      </c>
      <c r="S91" s="454"/>
      <c r="T91" s="455"/>
    </row>
    <row r="92" spans="1:21">
      <c r="A92" s="43" t="s">
        <v>62</v>
      </c>
      <c r="B92" s="55" t="s">
        <v>108</v>
      </c>
      <c r="C92" s="258">
        <v>6.7000000000000004E-2</v>
      </c>
      <c r="D92" s="259">
        <v>0.63729999999999998</v>
      </c>
      <c r="E92" s="260">
        <v>0.65</v>
      </c>
      <c r="F92" s="260">
        <v>0.35129049661183626</v>
      </c>
      <c r="G92" s="283">
        <v>2014</v>
      </c>
      <c r="H92" s="284" t="str">
        <f t="shared" si="7"/>
        <v>£m 09/10</v>
      </c>
      <c r="I92" s="284" t="s">
        <v>86</v>
      </c>
      <c r="J92" s="342" t="s">
        <v>99</v>
      </c>
      <c r="K92" s="351">
        <f t="shared" si="17"/>
        <v>2.92E-2</v>
      </c>
      <c r="L92" s="349">
        <f t="shared" si="17"/>
        <v>2.7199999999999998E-2</v>
      </c>
      <c r="M92" s="349">
        <f t="shared" si="17"/>
        <v>2.5499999999999998E-2</v>
      </c>
      <c r="N92" s="349">
        <f t="shared" si="17"/>
        <v>2.3800000000000002E-2</v>
      </c>
      <c r="O92" s="349">
        <f t="shared" si="17"/>
        <v>2.2200000000000001E-2</v>
      </c>
      <c r="P92" s="349">
        <f t="shared" si="17"/>
        <v>1.9099999999999999E-2</v>
      </c>
      <c r="Q92" s="349">
        <f t="shared" si="17"/>
        <v>1.5800000000000002E-2</v>
      </c>
      <c r="R92" s="349">
        <f t="shared" si="17"/>
        <v>1.5800000000000002E-2</v>
      </c>
      <c r="S92" s="454"/>
      <c r="T92" s="455"/>
    </row>
    <row r="93" spans="1:21">
      <c r="A93" s="43" t="s">
        <v>62</v>
      </c>
      <c r="B93" s="55" t="s">
        <v>109</v>
      </c>
      <c r="C93" s="258">
        <v>6.7000000000000004E-2</v>
      </c>
      <c r="D93" s="259">
        <v>0.63729999999999998</v>
      </c>
      <c r="E93" s="260">
        <v>0.65</v>
      </c>
      <c r="F93" s="260">
        <v>0.32230855902021693</v>
      </c>
      <c r="G93" s="283">
        <v>2014</v>
      </c>
      <c r="H93" s="284" t="str">
        <f t="shared" si="7"/>
        <v>£m 09/10</v>
      </c>
      <c r="I93" s="284" t="s">
        <v>86</v>
      </c>
      <c r="J93" s="342" t="s">
        <v>99</v>
      </c>
      <c r="K93" s="351">
        <f t="shared" si="17"/>
        <v>2.92E-2</v>
      </c>
      <c r="L93" s="349">
        <f t="shared" si="17"/>
        <v>2.7199999999999998E-2</v>
      </c>
      <c r="M93" s="349">
        <f t="shared" si="17"/>
        <v>2.5499999999999998E-2</v>
      </c>
      <c r="N93" s="349">
        <f t="shared" si="17"/>
        <v>2.3800000000000002E-2</v>
      </c>
      <c r="O93" s="349">
        <f t="shared" si="17"/>
        <v>2.2200000000000001E-2</v>
      </c>
      <c r="P93" s="349">
        <f t="shared" si="17"/>
        <v>1.9099999999999999E-2</v>
      </c>
      <c r="Q93" s="349">
        <f t="shared" si="17"/>
        <v>1.5800000000000002E-2</v>
      </c>
      <c r="R93" s="349">
        <f t="shared" si="17"/>
        <v>1.5800000000000002E-2</v>
      </c>
      <c r="S93" s="454"/>
      <c r="T93" s="455"/>
    </row>
    <row r="94" spans="1:21">
      <c r="A94" s="43" t="s">
        <v>62</v>
      </c>
      <c r="B94" s="55" t="s">
        <v>110</v>
      </c>
      <c r="C94" s="258">
        <v>6.7000000000000004E-2</v>
      </c>
      <c r="D94" s="259">
        <v>0.63170000000000004</v>
      </c>
      <c r="E94" s="260">
        <v>0.65</v>
      </c>
      <c r="F94" s="260">
        <v>0.35781904469402892</v>
      </c>
      <c r="G94" s="283">
        <v>2014</v>
      </c>
      <c r="H94" s="284" t="str">
        <f t="shared" si="7"/>
        <v>£m 09/10</v>
      </c>
      <c r="I94" s="284" t="s">
        <v>86</v>
      </c>
      <c r="J94" s="342" t="s">
        <v>99</v>
      </c>
      <c r="K94" s="351">
        <f t="shared" si="17"/>
        <v>2.92E-2</v>
      </c>
      <c r="L94" s="349">
        <f t="shared" si="17"/>
        <v>2.7199999999999998E-2</v>
      </c>
      <c r="M94" s="349">
        <f t="shared" si="17"/>
        <v>2.5499999999999998E-2</v>
      </c>
      <c r="N94" s="349">
        <f t="shared" si="17"/>
        <v>2.3800000000000002E-2</v>
      </c>
      <c r="O94" s="349">
        <f t="shared" si="17"/>
        <v>2.2200000000000001E-2</v>
      </c>
      <c r="P94" s="349">
        <f t="shared" si="17"/>
        <v>1.9099999999999999E-2</v>
      </c>
      <c r="Q94" s="349">
        <f t="shared" si="17"/>
        <v>1.5800000000000002E-2</v>
      </c>
      <c r="R94" s="349">
        <f t="shared" si="17"/>
        <v>1.5800000000000002E-2</v>
      </c>
      <c r="S94" s="454"/>
      <c r="T94" s="455"/>
    </row>
    <row r="95" spans="1:21">
      <c r="A95" s="43" t="s">
        <v>65</v>
      </c>
      <c r="B95" s="55" t="s">
        <v>111</v>
      </c>
      <c r="C95" s="258">
        <v>6.8000000000000005E-2</v>
      </c>
      <c r="D95" s="259">
        <v>0.44359999999999999</v>
      </c>
      <c r="E95" s="260">
        <v>0.625</v>
      </c>
      <c r="F95" s="260">
        <v>0.64400000000000002</v>
      </c>
      <c r="G95" s="283">
        <v>2014</v>
      </c>
      <c r="H95" s="284" t="str">
        <f t="shared" si="7"/>
        <v>£m 09/10</v>
      </c>
      <c r="I95" s="284" t="s">
        <v>86</v>
      </c>
      <c r="J95" s="342" t="s">
        <v>99</v>
      </c>
      <c r="K95" s="351">
        <f t="shared" ref="K95:R96" si="18">C$68</f>
        <v>2.92E-2</v>
      </c>
      <c r="L95" s="349">
        <f t="shared" si="18"/>
        <v>2.7199999999999998E-2</v>
      </c>
      <c r="M95" s="349">
        <f t="shared" si="18"/>
        <v>2.5499999999999998E-2</v>
      </c>
      <c r="N95" s="349">
        <f t="shared" si="18"/>
        <v>2.3800000000000002E-2</v>
      </c>
      <c r="O95" s="349">
        <f t="shared" si="18"/>
        <v>2.2200000000000001E-2</v>
      </c>
      <c r="P95" s="349">
        <f t="shared" si="18"/>
        <v>1.9099999999999999E-2</v>
      </c>
      <c r="Q95" s="349">
        <f t="shared" si="18"/>
        <v>1.5800000000000002E-2</v>
      </c>
      <c r="R95" s="750">
        <f t="shared" si="18"/>
        <v>1.09E-2</v>
      </c>
      <c r="S95" s="454"/>
      <c r="T95" s="455"/>
      <c r="U95" s="748" t="s">
        <v>74</v>
      </c>
    </row>
    <row r="96" spans="1:21">
      <c r="A96" s="43" t="s">
        <v>65</v>
      </c>
      <c r="B96" s="55" t="s">
        <v>112</v>
      </c>
      <c r="C96" s="258">
        <v>6.8000000000000005E-2</v>
      </c>
      <c r="D96" s="259">
        <v>0.44359999999999999</v>
      </c>
      <c r="E96" s="260">
        <v>0.625</v>
      </c>
      <c r="F96" s="260">
        <v>0.374</v>
      </c>
      <c r="G96" s="283">
        <v>2014</v>
      </c>
      <c r="H96" s="284" t="str">
        <f t="shared" si="7"/>
        <v>£m 09/10</v>
      </c>
      <c r="I96" s="284" t="s">
        <v>86</v>
      </c>
      <c r="J96" s="342" t="s">
        <v>99</v>
      </c>
      <c r="K96" s="351">
        <f t="shared" si="18"/>
        <v>2.92E-2</v>
      </c>
      <c r="L96" s="349">
        <f t="shared" si="18"/>
        <v>2.7199999999999998E-2</v>
      </c>
      <c r="M96" s="349">
        <f t="shared" si="18"/>
        <v>2.5499999999999998E-2</v>
      </c>
      <c r="N96" s="349">
        <f t="shared" si="18"/>
        <v>2.3800000000000002E-2</v>
      </c>
      <c r="O96" s="349">
        <f t="shared" si="18"/>
        <v>2.2200000000000001E-2</v>
      </c>
      <c r="P96" s="349">
        <f t="shared" si="18"/>
        <v>1.9099999999999999E-2</v>
      </c>
      <c r="Q96" s="349">
        <f t="shared" si="18"/>
        <v>1.5800000000000002E-2</v>
      </c>
      <c r="R96" s="750">
        <f t="shared" si="18"/>
        <v>1.09E-2</v>
      </c>
      <c r="S96" s="454"/>
      <c r="T96" s="455"/>
      <c r="U96" s="748" t="s">
        <v>74</v>
      </c>
    </row>
    <row r="97" spans="1:21">
      <c r="A97" s="43" t="s">
        <v>60</v>
      </c>
      <c r="B97" s="55" t="s">
        <v>113</v>
      </c>
      <c r="C97" s="258">
        <v>7.0000000000000007E-2</v>
      </c>
      <c r="D97" s="259">
        <v>0.46889999999999998</v>
      </c>
      <c r="E97" s="260">
        <v>0.6</v>
      </c>
      <c r="F97" s="260">
        <v>0.85</v>
      </c>
      <c r="G97" s="283">
        <v>2014</v>
      </c>
      <c r="H97" s="284" t="str">
        <f t="shared" si="7"/>
        <v>£m 09/10</v>
      </c>
      <c r="I97" s="284" t="s">
        <v>86</v>
      </c>
      <c r="J97" s="342" t="s">
        <v>99</v>
      </c>
      <c r="K97" s="351">
        <f t="shared" ref="K97:R99" si="19">C$66</f>
        <v>2.92E-2</v>
      </c>
      <c r="L97" s="349">
        <f t="shared" si="19"/>
        <v>2.7199999999999998E-2</v>
      </c>
      <c r="M97" s="349">
        <f t="shared" si="19"/>
        <v>2.5499999999999998E-2</v>
      </c>
      <c r="N97" s="349">
        <f t="shared" si="19"/>
        <v>2.3800000000000002E-2</v>
      </c>
      <c r="O97" s="349">
        <f t="shared" si="19"/>
        <v>2.2200000000000001E-2</v>
      </c>
      <c r="P97" s="349">
        <f t="shared" si="19"/>
        <v>1.9099999999999999E-2</v>
      </c>
      <c r="Q97" s="349">
        <f t="shared" si="19"/>
        <v>1.5800000000000002E-2</v>
      </c>
      <c r="R97" s="750">
        <f t="shared" si="19"/>
        <v>1.09E-2</v>
      </c>
      <c r="S97" s="454"/>
      <c r="T97" s="455"/>
      <c r="U97" s="748" t="s">
        <v>74</v>
      </c>
    </row>
    <row r="98" spans="1:21">
      <c r="A98" s="43" t="s">
        <v>60</v>
      </c>
      <c r="B98" s="55" t="s">
        <v>2</v>
      </c>
      <c r="C98" s="258">
        <v>7.0000000000000007E-2</v>
      </c>
      <c r="D98" s="259">
        <v>0.46889999999999998</v>
      </c>
      <c r="E98" s="260">
        <v>0.6</v>
      </c>
      <c r="F98" s="260">
        <v>0.27900000000000003</v>
      </c>
      <c r="G98" s="283">
        <v>2014</v>
      </c>
      <c r="H98" s="284" t="str">
        <f>VLOOKUP($A98,$E$54:$F$57,2,FALSE)</f>
        <v>£m 09/10</v>
      </c>
      <c r="I98" s="284" t="s">
        <v>86</v>
      </c>
      <c r="J98" s="342" t="s">
        <v>99</v>
      </c>
      <c r="K98" s="351">
        <f t="shared" si="19"/>
        <v>2.92E-2</v>
      </c>
      <c r="L98" s="349">
        <f t="shared" si="19"/>
        <v>2.7199999999999998E-2</v>
      </c>
      <c r="M98" s="349">
        <f t="shared" si="19"/>
        <v>2.5499999999999998E-2</v>
      </c>
      <c r="N98" s="349">
        <f t="shared" si="19"/>
        <v>2.3800000000000002E-2</v>
      </c>
      <c r="O98" s="349">
        <f t="shared" si="19"/>
        <v>2.2200000000000001E-2</v>
      </c>
      <c r="P98" s="349">
        <f t="shared" si="19"/>
        <v>1.9099999999999999E-2</v>
      </c>
      <c r="Q98" s="349">
        <f t="shared" si="19"/>
        <v>1.5800000000000002E-2</v>
      </c>
      <c r="R98" s="750">
        <f t="shared" si="19"/>
        <v>1.09E-2</v>
      </c>
      <c r="S98" s="454"/>
      <c r="T98" s="455"/>
      <c r="U98" s="748" t="s">
        <v>74</v>
      </c>
    </row>
    <row r="99" spans="1:21">
      <c r="A99" s="43" t="s">
        <v>60</v>
      </c>
      <c r="B99" s="55" t="s">
        <v>114</v>
      </c>
      <c r="C99" s="258">
        <v>7.0000000000000007E-2</v>
      </c>
      <c r="D99" s="259">
        <v>0.5</v>
      </c>
      <c r="E99" s="260">
        <v>0.55000000000000004</v>
      </c>
      <c r="F99" s="260">
        <v>0.9</v>
      </c>
      <c r="G99" s="283">
        <v>2014</v>
      </c>
      <c r="H99" s="284" t="str">
        <f>VLOOKUP($A99,$E$54:$F$57,2,FALSE)</f>
        <v>£m 09/10</v>
      </c>
      <c r="I99" s="284" t="s">
        <v>98</v>
      </c>
      <c r="J99" s="342" t="s">
        <v>99</v>
      </c>
      <c r="K99" s="351">
        <f t="shared" si="19"/>
        <v>2.92E-2</v>
      </c>
      <c r="L99" s="349">
        <f t="shared" si="19"/>
        <v>2.7199999999999998E-2</v>
      </c>
      <c r="M99" s="349">
        <f t="shared" si="19"/>
        <v>2.5499999999999998E-2</v>
      </c>
      <c r="N99" s="349">
        <f t="shared" si="19"/>
        <v>2.3800000000000002E-2</v>
      </c>
      <c r="O99" s="349">
        <f t="shared" si="19"/>
        <v>2.2200000000000001E-2</v>
      </c>
      <c r="P99" s="349">
        <f t="shared" si="19"/>
        <v>1.9099999999999999E-2</v>
      </c>
      <c r="Q99" s="349">
        <f t="shared" si="19"/>
        <v>1.5800000000000002E-2</v>
      </c>
      <c r="R99" s="349">
        <f t="shared" si="19"/>
        <v>1.09E-2</v>
      </c>
      <c r="S99" s="454"/>
      <c r="T99" s="455"/>
    </row>
    <row r="100" spans="1:21">
      <c r="A100" s="43" t="s">
        <v>60</v>
      </c>
      <c r="B100" s="56" t="s">
        <v>72</v>
      </c>
      <c r="C100" s="261">
        <v>7.0000000000000007E-2</v>
      </c>
      <c r="D100" s="262">
        <v>0.5</v>
      </c>
      <c r="E100" s="263">
        <v>0.55000000000000004</v>
      </c>
      <c r="F100" s="263">
        <v>0.9</v>
      </c>
      <c r="G100" s="272">
        <v>2014</v>
      </c>
      <c r="H100" s="273" t="str">
        <f>VLOOKUP($A100,$E$54:$F$57,2,FALSE)</f>
        <v>£m 09/10</v>
      </c>
      <c r="I100" s="273" t="s">
        <v>98</v>
      </c>
      <c r="J100" s="342" t="s">
        <v>99</v>
      </c>
      <c r="K100" s="352">
        <f t="shared" ref="K100:R100" si="20">C$65</f>
        <v>2.92E-2</v>
      </c>
      <c r="L100" s="350">
        <f t="shared" si="20"/>
        <v>2.5000000000000001E-2</v>
      </c>
      <c r="M100" s="350">
        <f t="shared" si="20"/>
        <v>2.1499999999999998E-2</v>
      </c>
      <c r="N100" s="350">
        <f t="shared" si="20"/>
        <v>1.7899999999999999E-2</v>
      </c>
      <c r="O100" s="350">
        <f t="shared" si="20"/>
        <v>1.5100000000000001E-2</v>
      </c>
      <c r="P100" s="350">
        <f t="shared" si="20"/>
        <v>1.1599999999999999E-2</v>
      </c>
      <c r="Q100" s="350">
        <f t="shared" si="20"/>
        <v>1.0200000000000001E-2</v>
      </c>
      <c r="R100" s="350">
        <f t="shared" si="20"/>
        <v>1.01E-2</v>
      </c>
      <c r="S100" s="456"/>
      <c r="T100" s="457"/>
    </row>
    <row r="101" spans="1:21">
      <c r="I101" s="50"/>
    </row>
    <row r="102" spans="1:21">
      <c r="I102" s="50"/>
    </row>
    <row r="103" spans="1:21">
      <c r="I103" s="50"/>
    </row>
    <row r="104" spans="1:21" ht="13.5">
      <c r="B104" s="6" t="s">
        <v>115</v>
      </c>
      <c r="D104" s="249"/>
      <c r="E104" s="249"/>
      <c r="F104" s="249"/>
      <c r="G104" s="249"/>
      <c r="H104" s="249"/>
      <c r="I104" s="249"/>
      <c r="J104" s="249"/>
    </row>
    <row r="105" spans="1:21">
      <c r="B105" s="6"/>
      <c r="C105" s="90">
        <v>2014</v>
      </c>
      <c r="D105" s="91">
        <f>C105+1</f>
        <v>2015</v>
      </c>
      <c r="E105" s="91">
        <f t="shared" ref="E105:J105" si="21">D105+1</f>
        <v>2016</v>
      </c>
      <c r="F105" s="91">
        <f>E105+1</f>
        <v>2017</v>
      </c>
      <c r="G105" s="91">
        <f t="shared" si="21"/>
        <v>2018</v>
      </c>
      <c r="H105" s="91">
        <f t="shared" si="21"/>
        <v>2019</v>
      </c>
      <c r="I105" s="91">
        <f t="shared" si="21"/>
        <v>2020</v>
      </c>
      <c r="J105" s="91">
        <f t="shared" si="21"/>
        <v>2021</v>
      </c>
    </row>
    <row r="106" spans="1:21">
      <c r="B106" s="253" t="s">
        <v>103</v>
      </c>
      <c r="C106" s="250">
        <v>0.5</v>
      </c>
      <c r="D106" s="250">
        <v>0.5714285714285714</v>
      </c>
      <c r="E106" s="250">
        <v>0.64285714285714279</v>
      </c>
      <c r="F106" s="250">
        <v>0.71428571428571419</v>
      </c>
      <c r="G106" s="250">
        <v>0.78571428571428559</v>
      </c>
      <c r="H106" s="250">
        <v>0.85714285714285698</v>
      </c>
      <c r="I106" s="250">
        <v>0.92857142857142838</v>
      </c>
      <c r="J106" s="251">
        <v>1</v>
      </c>
    </row>
    <row r="107" spans="1:21">
      <c r="B107" s="254" t="s">
        <v>104</v>
      </c>
      <c r="C107" s="177">
        <v>0.5</v>
      </c>
      <c r="D107" s="177">
        <v>0.5714285714285714</v>
      </c>
      <c r="E107" s="177">
        <v>0.64285714285714279</v>
      </c>
      <c r="F107" s="177">
        <v>0.71428571428571419</v>
      </c>
      <c r="G107" s="177">
        <v>0.78571428571428559</v>
      </c>
      <c r="H107" s="177">
        <v>0.85714285714285698</v>
      </c>
      <c r="I107" s="177">
        <v>0.92857142857142838</v>
      </c>
      <c r="J107" s="178">
        <v>1</v>
      </c>
    </row>
    <row r="108" spans="1:21">
      <c r="B108" s="254" t="s">
        <v>105</v>
      </c>
      <c r="C108" s="177">
        <v>0.5</v>
      </c>
      <c r="D108" s="177">
        <v>0.5714285714285714</v>
      </c>
      <c r="E108" s="177">
        <v>0.64285714285714279</v>
      </c>
      <c r="F108" s="177">
        <v>0.71428571428571419</v>
      </c>
      <c r="G108" s="177">
        <v>0.78571428571428559</v>
      </c>
      <c r="H108" s="177">
        <v>0.85714285714285698</v>
      </c>
      <c r="I108" s="177">
        <v>0.92857142857142838</v>
      </c>
      <c r="J108" s="178">
        <v>1</v>
      </c>
    </row>
    <row r="109" spans="1:21">
      <c r="B109" s="254" t="s">
        <v>106</v>
      </c>
      <c r="C109" s="177">
        <v>0.5</v>
      </c>
      <c r="D109" s="177">
        <v>0.5714285714285714</v>
      </c>
      <c r="E109" s="177">
        <v>0.64285714285714279</v>
      </c>
      <c r="F109" s="177">
        <v>0.71428571428571419</v>
      </c>
      <c r="G109" s="177">
        <v>0.78571428571428559</v>
      </c>
      <c r="H109" s="177">
        <v>0.85714285714285698</v>
      </c>
      <c r="I109" s="177">
        <v>0.92857142857142838</v>
      </c>
      <c r="J109" s="178">
        <v>1</v>
      </c>
    </row>
    <row r="110" spans="1:21">
      <c r="B110" s="254" t="s">
        <v>107</v>
      </c>
      <c r="C110" s="177">
        <v>0.5</v>
      </c>
      <c r="D110" s="177">
        <v>0.5714285714285714</v>
      </c>
      <c r="E110" s="177">
        <v>0.64285714285714279</v>
      </c>
      <c r="F110" s="177">
        <v>0.71428571428571419</v>
      </c>
      <c r="G110" s="177">
        <v>0.78571428571428559</v>
      </c>
      <c r="H110" s="177">
        <v>0.85714285714285698</v>
      </c>
      <c r="I110" s="177">
        <v>0.92857142857142838</v>
      </c>
      <c r="J110" s="178">
        <v>1</v>
      </c>
    </row>
    <row r="111" spans="1:21">
      <c r="B111" s="254" t="s">
        <v>108</v>
      </c>
      <c r="C111" s="177">
        <v>0.5</v>
      </c>
      <c r="D111" s="177">
        <v>0.5714285714285714</v>
      </c>
      <c r="E111" s="177">
        <v>0.64285714285714279</v>
      </c>
      <c r="F111" s="177">
        <v>0.71428571428571419</v>
      </c>
      <c r="G111" s="177">
        <v>0.78571428571428559</v>
      </c>
      <c r="H111" s="177">
        <v>0.85714285714285698</v>
      </c>
      <c r="I111" s="177">
        <v>0.92857142857142838</v>
      </c>
      <c r="J111" s="178">
        <v>1</v>
      </c>
    </row>
    <row r="112" spans="1:21">
      <c r="B112" s="254" t="s">
        <v>109</v>
      </c>
      <c r="C112" s="177">
        <v>0.5</v>
      </c>
      <c r="D112" s="177">
        <v>0.5714285714285714</v>
      </c>
      <c r="E112" s="177">
        <v>0.64285714285714279</v>
      </c>
      <c r="F112" s="177">
        <v>0.71428571428571419</v>
      </c>
      <c r="G112" s="177">
        <v>0.78571428571428559</v>
      </c>
      <c r="H112" s="177">
        <v>0.85714285714285698</v>
      </c>
      <c r="I112" s="177">
        <v>0.92857142857142838</v>
      </c>
      <c r="J112" s="178">
        <v>1</v>
      </c>
    </row>
    <row r="113" spans="2:15">
      <c r="B113" s="338" t="s">
        <v>110</v>
      </c>
      <c r="C113" s="339">
        <v>0.5</v>
      </c>
      <c r="D113" s="339">
        <v>0.5714285714285714</v>
      </c>
      <c r="E113" s="339">
        <v>0.64285714285714279</v>
      </c>
      <c r="F113" s="339">
        <v>0.71428571428571419</v>
      </c>
      <c r="G113" s="339">
        <v>0.78571428571428559</v>
      </c>
      <c r="H113" s="339">
        <v>0.85714285714285698</v>
      </c>
      <c r="I113" s="339">
        <v>0.92857142857142838</v>
      </c>
      <c r="J113" s="340">
        <v>1</v>
      </c>
    </row>
    <row r="114" spans="2:15">
      <c r="B114" s="254" t="s">
        <v>111</v>
      </c>
      <c r="C114" s="177">
        <v>0.9</v>
      </c>
      <c r="D114" s="177">
        <v>0.9</v>
      </c>
      <c r="E114" s="177">
        <v>0.9</v>
      </c>
      <c r="F114" s="177">
        <v>0.9</v>
      </c>
      <c r="G114" s="177">
        <v>0.9</v>
      </c>
      <c r="H114" s="177">
        <v>0.9</v>
      </c>
      <c r="I114" s="177">
        <v>0.9</v>
      </c>
      <c r="J114" s="178">
        <v>0.9</v>
      </c>
    </row>
    <row r="115" spans="2:15">
      <c r="B115" s="255" t="s">
        <v>112</v>
      </c>
      <c r="C115" s="461"/>
      <c r="D115" s="461"/>
      <c r="E115" s="461"/>
      <c r="F115" s="461"/>
      <c r="G115" s="461"/>
      <c r="H115" s="461"/>
      <c r="I115" s="461"/>
      <c r="J115" s="461"/>
    </row>
    <row r="116" spans="2:15">
      <c r="B116" s="322"/>
      <c r="C116" s="372"/>
      <c r="D116" s="372"/>
      <c r="E116" s="372"/>
      <c r="F116" s="372"/>
      <c r="G116" s="372"/>
      <c r="H116" s="372"/>
      <c r="I116" s="372"/>
      <c r="J116" s="372"/>
      <c r="M116" s="18"/>
      <c r="N116" s="18"/>
      <c r="O116" s="18"/>
    </row>
    <row r="117" spans="2:15">
      <c r="B117" s="322"/>
      <c r="C117" s="372"/>
      <c r="D117" s="372"/>
      <c r="E117" s="372"/>
      <c r="F117" s="372"/>
      <c r="G117" s="372"/>
      <c r="H117" s="372"/>
      <c r="I117" s="372"/>
      <c r="J117" s="372"/>
      <c r="K117" s="298"/>
      <c r="L117" s="298"/>
      <c r="M117" s="18"/>
      <c r="N117" s="18"/>
      <c r="O117" s="18"/>
    </row>
    <row r="118" spans="2:15">
      <c r="B118" s="382" t="s">
        <v>116</v>
      </c>
      <c r="C118" s="90">
        <v>2014</v>
      </c>
      <c r="D118" s="91">
        <f t="shared" ref="D118:L118" si="22">C118+1</f>
        <v>2015</v>
      </c>
      <c r="E118" s="91">
        <f t="shared" si="22"/>
        <v>2016</v>
      </c>
      <c r="F118" s="91">
        <f t="shared" si="22"/>
        <v>2017</v>
      </c>
      <c r="G118" s="91">
        <f t="shared" si="22"/>
        <v>2018</v>
      </c>
      <c r="H118" s="91">
        <f t="shared" si="22"/>
        <v>2019</v>
      </c>
      <c r="I118" s="91">
        <f t="shared" si="22"/>
        <v>2020</v>
      </c>
      <c r="J118" s="91">
        <f t="shared" si="22"/>
        <v>2021</v>
      </c>
      <c r="K118" s="91">
        <f t="shared" si="22"/>
        <v>2022</v>
      </c>
      <c r="L118" s="154">
        <f t="shared" si="22"/>
        <v>2023</v>
      </c>
      <c r="M118" s="18"/>
      <c r="N118" s="18"/>
      <c r="O118" s="18"/>
    </row>
    <row r="119" spans="2:15">
      <c r="B119" s="373" t="s">
        <v>85</v>
      </c>
      <c r="C119" s="458"/>
      <c r="D119" s="459"/>
      <c r="E119" s="375">
        <v>1.5575632164737283</v>
      </c>
      <c r="F119" s="375">
        <v>1.4734141240658321</v>
      </c>
      <c r="G119" s="375">
        <v>1.4689588897025405</v>
      </c>
      <c r="H119" s="375">
        <v>1.4707200530126929</v>
      </c>
      <c r="I119" s="375">
        <v>1.4674716260161711</v>
      </c>
      <c r="J119" s="375">
        <v>1.4486206224386007</v>
      </c>
      <c r="K119" s="375">
        <v>1.4956798325868756</v>
      </c>
      <c r="L119" s="376">
        <v>1.4397148718051931</v>
      </c>
      <c r="M119" s="18"/>
      <c r="N119" s="18"/>
      <c r="O119" s="18"/>
    </row>
    <row r="120" spans="2:15">
      <c r="B120" s="373" t="s">
        <v>88</v>
      </c>
      <c r="C120" s="460"/>
      <c r="D120" s="461"/>
      <c r="E120" s="377">
        <v>-0.65871781800535345</v>
      </c>
      <c r="F120" s="377">
        <v>-0.63543772576063684</v>
      </c>
      <c r="G120" s="377">
        <v>-0.58907862874233818</v>
      </c>
      <c r="H120" s="377">
        <v>-0.58178188190178026</v>
      </c>
      <c r="I120" s="377">
        <v>-0.56823918867341305</v>
      </c>
      <c r="J120" s="377">
        <v>-0.51933170333654122</v>
      </c>
      <c r="K120" s="377">
        <v>-0.47962665852661612</v>
      </c>
      <c r="L120" s="378">
        <v>-0.4656874701170608</v>
      </c>
      <c r="M120" s="18"/>
      <c r="N120" s="18"/>
      <c r="O120" s="18"/>
    </row>
    <row r="121" spans="2:15">
      <c r="B121" s="373" t="s">
        <v>89</v>
      </c>
      <c r="C121" s="460"/>
      <c r="D121" s="461"/>
      <c r="E121" s="377">
        <v>-0.86626036283610952</v>
      </c>
      <c r="F121" s="377">
        <v>-0.81019773780890636</v>
      </c>
      <c r="G121" s="377">
        <v>-0.78919084241395188</v>
      </c>
      <c r="H121" s="377">
        <v>-0.79061873066036981</v>
      </c>
      <c r="I121" s="377">
        <v>-0.74432653414361061</v>
      </c>
      <c r="J121" s="377">
        <v>-0.70697274816976396</v>
      </c>
      <c r="K121" s="377">
        <v>-0.65350946162011747</v>
      </c>
      <c r="L121" s="378">
        <v>-0.66429758885743451</v>
      </c>
      <c r="M121" s="18"/>
      <c r="N121" s="18"/>
      <c r="O121" s="18"/>
    </row>
    <row r="122" spans="2:15">
      <c r="B122" s="373" t="s">
        <v>90</v>
      </c>
      <c r="C122" s="460"/>
      <c r="D122" s="461"/>
      <c r="E122" s="377">
        <v>-3.2612134183503572</v>
      </c>
      <c r="F122" s="377">
        <v>-3.3462554451402173</v>
      </c>
      <c r="G122" s="377">
        <v>-3.1732919768141143</v>
      </c>
      <c r="H122" s="377">
        <v>-3.1232404745251841</v>
      </c>
      <c r="I122" s="377">
        <v>-3.0767551306224106</v>
      </c>
      <c r="J122" s="377">
        <v>-2.9342177182087767</v>
      </c>
      <c r="K122" s="377">
        <v>-2.8825938479182072</v>
      </c>
      <c r="L122" s="378">
        <v>-2.7237011003750218</v>
      </c>
      <c r="M122" s="18"/>
      <c r="N122" s="18"/>
      <c r="O122" s="18"/>
    </row>
    <row r="123" spans="2:15">
      <c r="B123" s="373" t="s">
        <v>91</v>
      </c>
      <c r="C123" s="460"/>
      <c r="D123" s="461"/>
      <c r="E123" s="377">
        <v>-2.4260972367898193</v>
      </c>
      <c r="F123" s="377">
        <v>-2.3690383662844163</v>
      </c>
      <c r="G123" s="377">
        <v>-2.2433276600060932</v>
      </c>
      <c r="H123" s="377">
        <v>-2.1466020621213828</v>
      </c>
      <c r="I123" s="377">
        <v>-2.174009678716605</v>
      </c>
      <c r="J123" s="377">
        <v>-2.0538927838998693</v>
      </c>
      <c r="K123" s="377">
        <v>-1.9044581231060691</v>
      </c>
      <c r="L123" s="378">
        <v>-1.8008611131009082</v>
      </c>
      <c r="M123" s="18"/>
      <c r="N123" s="18"/>
      <c r="O123" s="18"/>
    </row>
    <row r="124" spans="2:15">
      <c r="B124" s="373" t="s">
        <v>92</v>
      </c>
      <c r="C124" s="460"/>
      <c r="D124" s="461"/>
      <c r="E124" s="377">
        <v>-2.1861012409352765</v>
      </c>
      <c r="F124" s="377">
        <v>-2.3820447425774849</v>
      </c>
      <c r="G124" s="377">
        <v>-2.2418672366929897</v>
      </c>
      <c r="H124" s="377">
        <v>-2.1147812646907029</v>
      </c>
      <c r="I124" s="377">
        <v>-2.0146177086326591</v>
      </c>
      <c r="J124" s="377">
        <v>-1.9421313262105093</v>
      </c>
      <c r="K124" s="377">
        <v>-1.9248856430948595</v>
      </c>
      <c r="L124" s="378">
        <v>-1.8464451304225615</v>
      </c>
      <c r="M124" s="18"/>
      <c r="N124" s="18"/>
      <c r="O124" s="18"/>
    </row>
    <row r="125" spans="2:15">
      <c r="B125" s="373" t="s">
        <v>93</v>
      </c>
      <c r="C125" s="460"/>
      <c r="D125" s="461"/>
      <c r="E125" s="377">
        <v>-1.8633532543800757</v>
      </c>
      <c r="F125" s="377">
        <v>-1.8182980405067262</v>
      </c>
      <c r="G125" s="377">
        <v>-1.83946756302578</v>
      </c>
      <c r="H125" s="377">
        <v>-1.7415973428180247</v>
      </c>
      <c r="I125" s="377">
        <v>-1.6798002111470465</v>
      </c>
      <c r="J125" s="377">
        <v>-1.5974456358596774</v>
      </c>
      <c r="K125" s="377">
        <v>-1.5016396120831343</v>
      </c>
      <c r="L125" s="378">
        <v>-1.4453638876860204</v>
      </c>
      <c r="M125" s="18"/>
      <c r="N125" s="18"/>
      <c r="O125" s="18"/>
    </row>
    <row r="126" spans="2:15">
      <c r="B126" s="373" t="s">
        <v>94</v>
      </c>
      <c r="C126" s="460"/>
      <c r="D126" s="461"/>
      <c r="E126" s="377">
        <v>-2.1317145269512103</v>
      </c>
      <c r="F126" s="377">
        <v>-2.193973633026753</v>
      </c>
      <c r="G126" s="377">
        <v>-1.9869010217130036</v>
      </c>
      <c r="H126" s="377">
        <v>-1.8037552784318813</v>
      </c>
      <c r="I126" s="377">
        <v>-1.7767942495618843</v>
      </c>
      <c r="J126" s="377">
        <v>-1.7901472583807538</v>
      </c>
      <c r="K126" s="377">
        <v>-1.6444113686346382</v>
      </c>
      <c r="L126" s="378">
        <v>-1.467384504290556</v>
      </c>
      <c r="M126" s="18"/>
      <c r="N126" s="18"/>
      <c r="O126" s="18"/>
    </row>
    <row r="127" spans="2:15">
      <c r="B127" s="373" t="s">
        <v>95</v>
      </c>
      <c r="C127" s="460"/>
      <c r="D127" s="461"/>
      <c r="E127" s="377">
        <v>0.16599721814464838</v>
      </c>
      <c r="F127" s="377">
        <v>0.16631900606776751</v>
      </c>
      <c r="G127" s="377">
        <v>0.16554337895881124</v>
      </c>
      <c r="H127" s="377">
        <v>0.16569741136821181</v>
      </c>
      <c r="I127" s="377">
        <v>0.16622630759870036</v>
      </c>
      <c r="J127" s="377">
        <v>0.16380302414374548</v>
      </c>
      <c r="K127" s="377">
        <v>0.16593344617950709</v>
      </c>
      <c r="L127" s="378">
        <v>0.16036688822048883</v>
      </c>
      <c r="M127" s="18"/>
      <c r="N127" s="18"/>
      <c r="O127" s="18"/>
    </row>
    <row r="128" spans="2:15">
      <c r="B128" s="373" t="s">
        <v>96</v>
      </c>
      <c r="C128" s="460"/>
      <c r="D128" s="461"/>
      <c r="E128" s="377">
        <v>0.3648271976377423</v>
      </c>
      <c r="F128" s="377">
        <v>0.37109083837102003</v>
      </c>
      <c r="G128" s="377">
        <v>0.36071859106606846</v>
      </c>
      <c r="H128" s="377">
        <v>0.35927814835295946</v>
      </c>
      <c r="I128" s="377">
        <v>0.3227419487574148</v>
      </c>
      <c r="J128" s="377">
        <v>0.32139075529498529</v>
      </c>
      <c r="K128" s="377">
        <v>0.32876178406363676</v>
      </c>
      <c r="L128" s="378">
        <v>0.31920430794598709</v>
      </c>
      <c r="M128" s="18"/>
      <c r="N128" s="18"/>
      <c r="O128" s="18"/>
    </row>
    <row r="129" spans="2:15">
      <c r="B129" s="373" t="s">
        <v>97</v>
      </c>
      <c r="C129" s="460"/>
      <c r="D129" s="461"/>
      <c r="E129" s="377">
        <v>7.1281196754416492</v>
      </c>
      <c r="F129" s="377">
        <v>6.9674138399666772</v>
      </c>
      <c r="G129" s="377">
        <v>6.2034025893135132</v>
      </c>
      <c r="H129" s="377">
        <v>6.3085978915797085</v>
      </c>
      <c r="I129" s="377">
        <v>6.2376648400128394</v>
      </c>
      <c r="J129" s="377">
        <v>6.4865819943041139</v>
      </c>
      <c r="K129" s="377">
        <v>6.8152516624832584</v>
      </c>
      <c r="L129" s="378">
        <v>6.6271056201039169</v>
      </c>
      <c r="M129" s="18"/>
      <c r="N129" s="18"/>
      <c r="O129" s="18"/>
    </row>
    <row r="130" spans="2:15">
      <c r="B130" s="373" t="s">
        <v>100</v>
      </c>
      <c r="C130" s="460"/>
      <c r="D130" s="461"/>
      <c r="E130" s="377">
        <v>6.5079014730517413</v>
      </c>
      <c r="F130" s="377">
        <v>6.5166167406950333</v>
      </c>
      <c r="G130" s="377">
        <v>6.3292456496722922</v>
      </c>
      <c r="H130" s="377">
        <v>6.4407397408462082</v>
      </c>
      <c r="I130" s="377">
        <v>6.6367331985058957</v>
      </c>
      <c r="J130" s="377">
        <v>6.7568163761394304</v>
      </c>
      <c r="K130" s="377">
        <v>6.6961234445143969</v>
      </c>
      <c r="L130" s="378">
        <v>6.7647427548792596</v>
      </c>
      <c r="M130" s="18"/>
      <c r="N130" s="18"/>
      <c r="O130" s="18"/>
    </row>
    <row r="131" spans="2:15">
      <c r="B131" s="373" t="s">
        <v>101</v>
      </c>
      <c r="C131" s="460"/>
      <c r="D131" s="461"/>
      <c r="E131" s="377">
        <v>3.6763138465229663</v>
      </c>
      <c r="F131" s="377">
        <v>3.6748350873956013</v>
      </c>
      <c r="G131" s="377">
        <v>3.4998529635433906</v>
      </c>
      <c r="H131" s="377">
        <v>3.724685546648324</v>
      </c>
      <c r="I131" s="377">
        <v>3.4121739487309477</v>
      </c>
      <c r="J131" s="377">
        <v>3.4202241027689042</v>
      </c>
      <c r="K131" s="377">
        <v>3.3053549439575329</v>
      </c>
      <c r="L131" s="378">
        <v>3.3633285641010966</v>
      </c>
      <c r="M131" s="18"/>
      <c r="N131" s="18"/>
      <c r="O131" s="18"/>
    </row>
    <row r="132" spans="2:15">
      <c r="B132" s="373" t="s">
        <v>102</v>
      </c>
      <c r="C132" s="460"/>
      <c r="D132" s="461"/>
      <c r="E132" s="377">
        <v>5.3762701961708466</v>
      </c>
      <c r="F132" s="377">
        <v>5.3775969760840585</v>
      </c>
      <c r="G132" s="377">
        <v>5.2618102801807671</v>
      </c>
      <c r="H132" s="377">
        <v>5.360849180672294</v>
      </c>
      <c r="I132" s="377">
        <v>5.2665238228731912</v>
      </c>
      <c r="J132" s="377">
        <v>5.3271179030285305</v>
      </c>
      <c r="K132" s="377">
        <v>5.3223294006601192</v>
      </c>
      <c r="L132" s="378">
        <v>5.5699880746272257</v>
      </c>
      <c r="M132" s="18"/>
      <c r="N132" s="18"/>
      <c r="O132" s="18"/>
    </row>
    <row r="133" spans="2:15">
      <c r="B133" s="373" t="s">
        <v>103</v>
      </c>
      <c r="C133" s="379">
        <v>1.4371556068940596</v>
      </c>
      <c r="D133" s="377">
        <v>1.3718015630879741</v>
      </c>
      <c r="E133" s="377">
        <v>1.3507660107019517</v>
      </c>
      <c r="F133" s="377">
        <v>1.356812198977974</v>
      </c>
      <c r="G133" s="377">
        <v>1.3598136386487443</v>
      </c>
      <c r="H133" s="377">
        <v>1.3501475065962032</v>
      </c>
      <c r="I133" s="377">
        <v>1.3298433305384654</v>
      </c>
      <c r="J133" s="377">
        <v>1.3174540960763355</v>
      </c>
      <c r="K133" s="461"/>
      <c r="L133" s="462"/>
      <c r="M133" s="18"/>
      <c r="N133" s="18"/>
      <c r="O133" s="18"/>
    </row>
    <row r="134" spans="2:15">
      <c r="B134" s="373" t="s">
        <v>104</v>
      </c>
      <c r="C134" s="379">
        <v>1.2224510767557433</v>
      </c>
      <c r="D134" s="377">
        <v>1.2198157429394254</v>
      </c>
      <c r="E134" s="377">
        <v>1.2942164825881293</v>
      </c>
      <c r="F134" s="377">
        <v>1.2596396269108345</v>
      </c>
      <c r="G134" s="377">
        <v>1.2840112184368913</v>
      </c>
      <c r="H134" s="377">
        <v>1.2678511857965422</v>
      </c>
      <c r="I134" s="377">
        <v>1.2592019055105816</v>
      </c>
      <c r="J134" s="377">
        <v>1.257376658609527</v>
      </c>
      <c r="K134" s="461"/>
      <c r="L134" s="462"/>
      <c r="M134" s="18"/>
      <c r="N134" s="18"/>
      <c r="O134" s="18"/>
    </row>
    <row r="135" spans="2:15">
      <c r="B135" s="373" t="s">
        <v>105</v>
      </c>
      <c r="C135" s="379">
        <v>0.82325002294811445</v>
      </c>
      <c r="D135" s="377">
        <v>0.82663571281128501</v>
      </c>
      <c r="E135" s="377">
        <v>0.79640504595610451</v>
      </c>
      <c r="F135" s="377">
        <v>0.78757021450124798</v>
      </c>
      <c r="G135" s="377">
        <v>0.81133252861207505</v>
      </c>
      <c r="H135" s="377">
        <v>0.81064228783969072</v>
      </c>
      <c r="I135" s="377">
        <v>0.80900368952296353</v>
      </c>
      <c r="J135" s="377">
        <v>0.78043276967968189</v>
      </c>
      <c r="K135" s="461"/>
      <c r="L135" s="462"/>
      <c r="M135" s="18"/>
      <c r="N135" s="18"/>
      <c r="O135" s="18"/>
    </row>
    <row r="136" spans="2:15">
      <c r="B136" s="373" t="s">
        <v>106</v>
      </c>
      <c r="C136" s="379">
        <v>1.0893959849781105</v>
      </c>
      <c r="D136" s="377">
        <v>1.027913194554035</v>
      </c>
      <c r="E136" s="377">
        <v>1.0066987144123654</v>
      </c>
      <c r="F136" s="377">
        <v>1.0192350900597893</v>
      </c>
      <c r="G136" s="377">
        <v>1.0341480780318344</v>
      </c>
      <c r="H136" s="377">
        <v>1.0204240792759967</v>
      </c>
      <c r="I136" s="377">
        <v>1.0137739549704501</v>
      </c>
      <c r="J136" s="377">
        <v>0.9898055017218621</v>
      </c>
      <c r="K136" s="461"/>
      <c r="L136" s="462"/>
      <c r="M136" s="18"/>
      <c r="N136" s="18"/>
      <c r="O136" s="18"/>
    </row>
    <row r="137" spans="2:15">
      <c r="B137" s="373" t="s">
        <v>107</v>
      </c>
      <c r="C137" s="379">
        <v>3.0675250143183739</v>
      </c>
      <c r="D137" s="377">
        <v>3.1629219417602221</v>
      </c>
      <c r="E137" s="377">
        <v>3.2156604222069194</v>
      </c>
      <c r="F137" s="377">
        <v>3.1773534622131239</v>
      </c>
      <c r="G137" s="377">
        <v>2.9925267771957293</v>
      </c>
      <c r="H137" s="377">
        <v>2.9953978987575276</v>
      </c>
      <c r="I137" s="377">
        <v>3.008780645638939</v>
      </c>
      <c r="J137" s="377">
        <v>3.0035530345258876</v>
      </c>
      <c r="K137" s="461"/>
      <c r="L137" s="462"/>
      <c r="M137" s="18"/>
      <c r="N137" s="18"/>
      <c r="O137" s="18"/>
    </row>
    <row r="138" spans="2:15">
      <c r="B138" s="373" t="s">
        <v>108</v>
      </c>
      <c r="C138" s="379">
        <v>2.1240897362733717</v>
      </c>
      <c r="D138" s="377">
        <v>2.0350723340362249</v>
      </c>
      <c r="E138" s="377">
        <v>1.9686998072928457</v>
      </c>
      <c r="F138" s="377">
        <v>2.0858456765056492</v>
      </c>
      <c r="G138" s="377">
        <v>2.1150393198028121</v>
      </c>
      <c r="H138" s="377">
        <v>2.0960407823683633</v>
      </c>
      <c r="I138" s="377">
        <v>1.9709648894580449</v>
      </c>
      <c r="J138" s="377">
        <v>1.9558237270696361</v>
      </c>
      <c r="K138" s="461"/>
      <c r="L138" s="462"/>
      <c r="M138" s="18"/>
      <c r="N138" s="18"/>
      <c r="O138" s="18"/>
    </row>
    <row r="139" spans="2:15">
      <c r="B139" s="373" t="s">
        <v>109</v>
      </c>
      <c r="C139" s="379">
        <v>4.3724011747736116</v>
      </c>
      <c r="D139" s="377">
        <v>4.1057641662653896</v>
      </c>
      <c r="E139" s="377">
        <v>4.0545669929819539</v>
      </c>
      <c r="F139" s="377">
        <v>4.1740927460581894</v>
      </c>
      <c r="G139" s="377">
        <v>4.2397101975440528</v>
      </c>
      <c r="H139" s="377">
        <v>4.2461477210751069</v>
      </c>
      <c r="I139" s="377">
        <v>4.1078523076276792</v>
      </c>
      <c r="J139" s="377">
        <v>4.0575944965475035</v>
      </c>
      <c r="K139" s="461"/>
      <c r="L139" s="462"/>
      <c r="M139" s="18"/>
      <c r="N139" s="18"/>
      <c r="O139" s="18"/>
    </row>
    <row r="140" spans="2:15">
      <c r="B140" s="373" t="s">
        <v>110</v>
      </c>
      <c r="C140" s="379">
        <v>1.3982776671905828</v>
      </c>
      <c r="D140" s="377">
        <v>1.3864649866746799</v>
      </c>
      <c r="E140" s="377">
        <v>1.3673040530931269</v>
      </c>
      <c r="F140" s="377">
        <v>1.3493453776780693</v>
      </c>
      <c r="G140" s="377">
        <v>1.3347777856873293</v>
      </c>
      <c r="H140" s="377">
        <v>1.3354887108693174</v>
      </c>
      <c r="I140" s="377">
        <v>1.3597799661606067</v>
      </c>
      <c r="J140" s="377">
        <v>1.3515240072037848</v>
      </c>
      <c r="K140" s="461"/>
      <c r="L140" s="462"/>
      <c r="M140" s="18"/>
      <c r="N140" s="18"/>
      <c r="O140" s="18"/>
    </row>
    <row r="141" spans="2:15">
      <c r="B141" s="373" t="s">
        <v>111</v>
      </c>
      <c r="C141" s="379">
        <v>-1.1295718210052885</v>
      </c>
      <c r="D141" s="377">
        <v>-1.1444007312827333</v>
      </c>
      <c r="E141" s="377">
        <v>-1.1763817360750841</v>
      </c>
      <c r="F141" s="377">
        <v>-1.5927557463957547</v>
      </c>
      <c r="G141" s="377">
        <v>-1.8565667598967899</v>
      </c>
      <c r="H141" s="377">
        <v>-1.2720416735170972</v>
      </c>
      <c r="I141" s="377">
        <v>-1.1039739947823479</v>
      </c>
      <c r="J141" s="377">
        <v>-1.018311326547777</v>
      </c>
      <c r="K141" s="461"/>
      <c r="L141" s="462"/>
      <c r="M141" s="18"/>
      <c r="N141" s="18"/>
      <c r="O141" s="18"/>
    </row>
    <row r="142" spans="2:15">
      <c r="B142" s="373" t="s">
        <v>112</v>
      </c>
      <c r="C142" s="379">
        <v>-0.43181154987245485</v>
      </c>
      <c r="D142" s="377">
        <v>-0.39947195996305995</v>
      </c>
      <c r="E142" s="377">
        <v>-0.34734317043598018</v>
      </c>
      <c r="F142" s="377">
        <v>-0.3193206524905472</v>
      </c>
      <c r="G142" s="377">
        <v>-0.31265626882301373</v>
      </c>
      <c r="H142" s="377">
        <v>-0.30799379948941219</v>
      </c>
      <c r="I142" s="377">
        <v>-0.32570922921081308</v>
      </c>
      <c r="J142" s="377">
        <v>-0.31552026220892354</v>
      </c>
      <c r="K142" s="461"/>
      <c r="L142" s="462"/>
      <c r="M142" s="18"/>
      <c r="N142" s="18"/>
      <c r="O142" s="18"/>
    </row>
    <row r="143" spans="2:15">
      <c r="B143" s="373" t="s">
        <v>113</v>
      </c>
      <c r="C143" s="379">
        <v>15.168246288518162</v>
      </c>
      <c r="D143" s="377">
        <v>16.275110005972994</v>
      </c>
      <c r="E143" s="377">
        <v>15.614702904478012</v>
      </c>
      <c r="F143" s="377">
        <v>14.911674359737152</v>
      </c>
      <c r="G143" s="377">
        <v>13.033415757853545</v>
      </c>
      <c r="H143" s="377">
        <v>12.556067765830047</v>
      </c>
      <c r="I143" s="377">
        <v>11.285100906339711</v>
      </c>
      <c r="J143" s="377">
        <v>9.8268179419485548</v>
      </c>
      <c r="K143" s="461"/>
      <c r="L143" s="462"/>
      <c r="M143" s="18"/>
      <c r="N143" s="18"/>
      <c r="O143" s="18"/>
    </row>
    <row r="144" spans="2:15">
      <c r="B144" s="373" t="s">
        <v>2</v>
      </c>
      <c r="C144" s="379">
        <v>0.93219394583370063</v>
      </c>
      <c r="D144" s="377">
        <v>0.89969793099769957</v>
      </c>
      <c r="E144" s="377">
        <v>0.87783267686821997</v>
      </c>
      <c r="F144" s="377">
        <v>0.87232109317784756</v>
      </c>
      <c r="G144" s="377">
        <v>0.89875958568159287</v>
      </c>
      <c r="H144" s="377">
        <v>0.82801710222961222</v>
      </c>
      <c r="I144" s="377">
        <v>0.88417658562860901</v>
      </c>
      <c r="J144" s="377">
        <v>0.89982415652833247</v>
      </c>
      <c r="K144" s="461"/>
      <c r="L144" s="462"/>
      <c r="M144" s="18"/>
      <c r="N144" s="18"/>
      <c r="O144" s="18"/>
    </row>
    <row r="145" spans="1:15">
      <c r="B145" s="373" t="s">
        <v>114</v>
      </c>
      <c r="C145" s="379">
        <v>10.952751093909903</v>
      </c>
      <c r="D145" s="377">
        <v>1.3412683602121493</v>
      </c>
      <c r="E145" s="377">
        <v>22.190179414419269</v>
      </c>
      <c r="F145" s="377">
        <v>7.0488483253947072</v>
      </c>
      <c r="G145" s="377">
        <v>6.9020695692988534</v>
      </c>
      <c r="H145" s="377">
        <v>6.9425238085580094</v>
      </c>
      <c r="I145" s="377">
        <v>7.0785069781779111</v>
      </c>
      <c r="J145" s="377">
        <v>5.2688524500291916</v>
      </c>
      <c r="K145" s="461"/>
      <c r="L145" s="462"/>
      <c r="M145" s="18"/>
      <c r="N145" s="18"/>
      <c r="O145" s="18"/>
    </row>
    <row r="146" spans="1:15">
      <c r="B146" s="374" t="s">
        <v>72</v>
      </c>
      <c r="C146" s="380">
        <v>4.7850556060781999</v>
      </c>
      <c r="D146" s="381">
        <v>4.9736597194598335</v>
      </c>
      <c r="E146" s="381">
        <v>5.6988662496343032</v>
      </c>
      <c r="F146" s="381">
        <v>3.7921077312788807</v>
      </c>
      <c r="G146" s="381">
        <v>2.8512563802087829</v>
      </c>
      <c r="H146" s="381">
        <v>2.8799765245720623</v>
      </c>
      <c r="I146" s="381">
        <v>2.9074703511454074</v>
      </c>
      <c r="J146" s="381">
        <v>2.8191074376225309</v>
      </c>
      <c r="K146" s="463"/>
      <c r="L146" s="464"/>
      <c r="M146" s="18"/>
      <c r="N146" s="18"/>
      <c r="O146" s="18"/>
    </row>
    <row r="147" spans="1:15">
      <c r="B147" s="18"/>
      <c r="C147" s="18"/>
      <c r="D147" s="18"/>
      <c r="E147" s="18"/>
      <c r="F147" s="18"/>
      <c r="G147" s="18"/>
      <c r="H147" s="18"/>
      <c r="I147" s="18"/>
      <c r="J147" s="18"/>
      <c r="K147" s="18"/>
      <c r="L147" s="18"/>
      <c r="M147" s="18"/>
      <c r="N147" s="18"/>
      <c r="O147" s="18"/>
    </row>
    <row r="148" spans="1:15">
      <c r="B148" s="322"/>
      <c r="C148" s="298"/>
      <c r="D148" s="298"/>
      <c r="E148" s="298"/>
      <c r="F148" s="298"/>
      <c r="G148" s="298"/>
      <c r="H148" s="298"/>
      <c r="I148" s="298"/>
      <c r="J148" s="298"/>
      <c r="K148" s="18"/>
      <c r="L148" s="18"/>
      <c r="M148" s="18"/>
    </row>
    <row r="149" spans="1:15">
      <c r="B149" s="868" t="str">
        <f>LEFT('RFPR cover'!C6,2)</f>
        <v>ET</v>
      </c>
      <c r="C149" s="869"/>
      <c r="D149" s="869"/>
      <c r="E149" s="869"/>
      <c r="F149" s="869"/>
      <c r="G149" s="869"/>
      <c r="H149" s="869"/>
      <c r="I149" s="869"/>
      <c r="J149" s="869"/>
      <c r="K149" s="869"/>
      <c r="L149" s="870"/>
    </row>
    <row r="150" spans="1:15" ht="14.25" customHeight="1">
      <c r="A150" s="163"/>
      <c r="B150" s="370" t="s">
        <v>117</v>
      </c>
      <c r="C150" s="371"/>
      <c r="D150" s="371"/>
      <c r="E150" s="371"/>
      <c r="F150" s="369"/>
      <c r="G150" s="369"/>
      <c r="H150" s="369"/>
      <c r="I150" s="369"/>
      <c r="J150" s="369"/>
      <c r="K150" s="369"/>
      <c r="L150" s="369"/>
      <c r="M150" s="369"/>
      <c r="N150" s="369"/>
    </row>
    <row r="151" spans="1:15" s="18" customFormat="1" ht="14.25" customHeight="1">
      <c r="A151" s="637"/>
      <c r="B151" s="638"/>
      <c r="C151" s="639"/>
      <c r="D151" s="639"/>
      <c r="E151" s="639"/>
      <c r="F151" s="640"/>
      <c r="G151" s="640"/>
      <c r="H151" s="640"/>
      <c r="I151" s="640"/>
      <c r="J151" s="640"/>
      <c r="K151" s="640"/>
      <c r="L151" s="640"/>
      <c r="M151" s="640"/>
      <c r="N151" s="640"/>
    </row>
    <row r="152" spans="1:15">
      <c r="A152" s="161"/>
      <c r="B152" s="931" t="s">
        <v>118</v>
      </c>
      <c r="C152" s="164"/>
      <c r="D152" s="164"/>
      <c r="E152" s="871" t="b">
        <f>OR((LEFT('RFPR cover'!$C$6,2)=Data!F152),'RFPR cover'!$C$5=Data!F152)</f>
        <v>0</v>
      </c>
      <c r="F152" s="297" t="str">
        <f>B162</f>
        <v>ED</v>
      </c>
      <c r="G152" s="866"/>
    </row>
    <row r="153" spans="1:15" ht="25.5">
      <c r="A153" s="161"/>
      <c r="B153" s="653" t="str">
        <f>CHOOSE(MATCH(TRUE,$E$152:$E$159,0),B163,B173,B183,E183,B193,E193,B203,E203)&amp;""</f>
        <v>Electricity Market Reform incentive revenue</v>
      </c>
      <c r="C153" s="164"/>
      <c r="D153" s="164"/>
      <c r="E153" s="641" t="b">
        <f>OR((LEFT('RFPR cover'!$C$6,2)=Data!F153),'RFPR cover'!$C$5=Data!F153)</f>
        <v>0</v>
      </c>
      <c r="F153" s="298" t="str">
        <f>B172</f>
        <v>GD</v>
      </c>
      <c r="G153" s="160"/>
    </row>
    <row r="154" spans="1:15">
      <c r="A154" s="161"/>
      <c r="B154" s="654" t="str">
        <f t="shared" ref="B154:B160" si="23">CHOOSE(MATCH(TRUE,$E$152:$E$159,0),B164,B174,B184,E184,B194,E194,B204,E204)&amp;""</f>
        <v>Balancing Services Incentive Scheme</v>
      </c>
      <c r="C154" s="164"/>
      <c r="D154" s="164"/>
      <c r="E154" s="641" t="b">
        <f>OR((LEFT('RFPR cover'!$C$6,2)=Data!F154),'RFPR cover'!$C$5=Data!F154)</f>
        <v>0</v>
      </c>
      <c r="F154" s="652" t="str">
        <f>B182</f>
        <v>NGGT (TO)</v>
      </c>
      <c r="G154" s="160"/>
    </row>
    <row r="155" spans="1:15">
      <c r="A155" s="161"/>
      <c r="B155" s="654" t="str">
        <f t="shared" si="23"/>
        <v>Renewable wind forecasting incentive</v>
      </c>
      <c r="C155" s="164"/>
      <c r="D155" s="164"/>
      <c r="E155" s="641" t="b">
        <f>OR((LEFT('RFPR cover'!$C$6,2)=Data!F155),'RFPR cover'!$C$5=Data!F155)</f>
        <v>0</v>
      </c>
      <c r="F155" s="642" t="str">
        <f>E182</f>
        <v>NGGT (SO)</v>
      </c>
      <c r="G155" s="160"/>
    </row>
    <row r="156" spans="1:15">
      <c r="A156" s="161"/>
      <c r="B156" s="654" t="str">
        <f t="shared" si="23"/>
        <v/>
      </c>
      <c r="C156" s="164"/>
      <c r="D156" s="164"/>
      <c r="E156" s="641" t="b">
        <f>OR((LEFT('RFPR cover'!$C$6,2)=Data!F156),'RFPR cover'!$C$5=Data!F156)</f>
        <v>0</v>
      </c>
      <c r="F156" s="642" t="str">
        <f>B192</f>
        <v>NGET (TO)</v>
      </c>
      <c r="G156" s="160"/>
    </row>
    <row r="157" spans="1:15">
      <c r="A157" s="161"/>
      <c r="B157" s="655" t="str">
        <f t="shared" si="23"/>
        <v/>
      </c>
      <c r="C157" s="164"/>
      <c r="D157" s="164"/>
      <c r="E157" s="641" t="b">
        <f>OR((LEFT('RFPR cover'!$C$6,2)=Data!F157),'RFPR cover'!$C$5=Data!F157)</f>
        <v>1</v>
      </c>
      <c r="F157" s="642" t="str">
        <f>E192</f>
        <v>NGET (SO)</v>
      </c>
      <c r="G157" s="160"/>
    </row>
    <row r="158" spans="1:15">
      <c r="A158" s="161"/>
      <c r="B158" s="655" t="str">
        <f t="shared" si="23"/>
        <v/>
      </c>
      <c r="C158" s="164"/>
      <c r="D158" s="164"/>
      <c r="E158" s="641" t="b">
        <f>OR((LEFT('RFPR cover'!$C$6,2)=Data!F158),'RFPR cover'!$C$5=Data!F158)</f>
        <v>0</v>
      </c>
      <c r="F158" s="642" t="str">
        <f>B202</f>
        <v>SPT</v>
      </c>
      <c r="G158" s="160"/>
    </row>
    <row r="159" spans="1:15">
      <c r="A159" s="161"/>
      <c r="B159" s="655" t="str">
        <f t="shared" si="23"/>
        <v/>
      </c>
      <c r="C159" s="164"/>
      <c r="D159" s="164"/>
      <c r="E159" s="643" t="b">
        <f>OR((LEFT('RFPR cover'!$C$6,2)=Data!F159),'RFPR cover'!$C$5=Data!F159)</f>
        <v>0</v>
      </c>
      <c r="F159" s="644" t="str">
        <f>E202</f>
        <v>SHET</v>
      </c>
      <c r="G159" s="248"/>
    </row>
    <row r="160" spans="1:15">
      <c r="A160" s="161"/>
      <c r="B160" s="164" t="str">
        <f t="shared" si="23"/>
        <v/>
      </c>
      <c r="C160" s="164"/>
      <c r="D160" s="164"/>
      <c r="E160" s="42"/>
      <c r="F160" s="642"/>
      <c r="G160" s="28"/>
    </row>
    <row r="161" spans="1:7">
      <c r="A161" s="161"/>
      <c r="B161" s="164"/>
      <c r="C161" s="164"/>
      <c r="D161" s="164"/>
      <c r="E161" s="42"/>
      <c r="F161" s="642"/>
      <c r="G161" s="28"/>
    </row>
    <row r="162" spans="1:7" ht="12" customHeight="1">
      <c r="A162" s="161"/>
      <c r="B162" s="972" t="s">
        <v>56</v>
      </c>
      <c r="C162" s="968"/>
      <c r="D162" s="164"/>
      <c r="E162" s="164"/>
    </row>
    <row r="163" spans="1:7">
      <c r="A163" s="161"/>
      <c r="B163" s="973" t="s">
        <v>119</v>
      </c>
      <c r="C163" s="974"/>
      <c r="D163" s="164"/>
      <c r="E163" s="164"/>
    </row>
    <row r="164" spans="1:7">
      <c r="A164" s="161"/>
      <c r="B164" s="973" t="s">
        <v>120</v>
      </c>
      <c r="C164" s="974"/>
      <c r="D164" s="164"/>
      <c r="E164" s="164"/>
    </row>
    <row r="165" spans="1:7">
      <c r="A165" s="161"/>
      <c r="B165" s="975" t="s">
        <v>121</v>
      </c>
      <c r="C165" s="976"/>
      <c r="D165" s="164"/>
      <c r="E165" s="164"/>
    </row>
    <row r="166" spans="1:7">
      <c r="A166" s="161"/>
      <c r="B166" s="975" t="s">
        <v>122</v>
      </c>
      <c r="C166" s="976"/>
      <c r="D166" s="164"/>
      <c r="E166" s="164"/>
    </row>
    <row r="167" spans="1:7">
      <c r="A167" s="161"/>
      <c r="B167" s="975" t="s">
        <v>123</v>
      </c>
      <c r="C167" s="976"/>
      <c r="D167" s="164"/>
      <c r="E167" s="164"/>
    </row>
    <row r="168" spans="1:7">
      <c r="A168" s="161"/>
      <c r="B168" s="975"/>
      <c r="C168" s="976"/>
      <c r="D168" s="164"/>
      <c r="E168" s="164"/>
    </row>
    <row r="169" spans="1:7">
      <c r="A169" s="161"/>
      <c r="B169" s="975"/>
      <c r="C169" s="976"/>
      <c r="D169" s="164"/>
      <c r="E169" s="164"/>
    </row>
    <row r="170" spans="1:7">
      <c r="A170" s="161"/>
      <c r="B170" s="164"/>
      <c r="C170" s="164"/>
      <c r="D170" s="164"/>
      <c r="E170" s="164"/>
    </row>
    <row r="171" spans="1:7">
      <c r="A171" s="161"/>
      <c r="B171" s="164"/>
      <c r="C171" s="164"/>
      <c r="D171" s="164"/>
      <c r="E171" s="164"/>
    </row>
    <row r="172" spans="1:7">
      <c r="A172" s="161"/>
      <c r="B172" s="972" t="s">
        <v>62</v>
      </c>
      <c r="C172" s="968"/>
      <c r="D172" s="164"/>
      <c r="E172" s="164"/>
    </row>
    <row r="173" spans="1:7" ht="12.75" customHeight="1">
      <c r="A173" s="161"/>
      <c r="B173" s="969" t="s">
        <v>124</v>
      </c>
      <c r="C173" s="971"/>
      <c r="D173" s="164"/>
      <c r="E173" s="164"/>
    </row>
    <row r="174" spans="1:7" ht="12.75" customHeight="1">
      <c r="A174" s="161"/>
      <c r="B174" s="963" t="s">
        <v>125</v>
      </c>
      <c r="C174" s="965"/>
      <c r="D174" s="164"/>
      <c r="E174" s="164"/>
    </row>
    <row r="175" spans="1:7" ht="12.75" customHeight="1">
      <c r="A175" s="161"/>
      <c r="B175" s="963" t="s">
        <v>126</v>
      </c>
      <c r="C175" s="965"/>
      <c r="D175" s="164"/>
      <c r="E175" s="164"/>
    </row>
    <row r="176" spans="1:7" ht="12.75" customHeight="1">
      <c r="A176" s="161"/>
      <c r="B176" s="963" t="s">
        <v>127</v>
      </c>
      <c r="C176" s="965"/>
      <c r="D176" s="164"/>
      <c r="E176" s="164"/>
    </row>
    <row r="177" spans="1:9" ht="12.75" customHeight="1">
      <c r="A177" s="161"/>
      <c r="B177" s="960" t="s">
        <v>128</v>
      </c>
      <c r="C177" s="962"/>
      <c r="D177" s="164"/>
      <c r="E177" s="164"/>
    </row>
    <row r="178" spans="1:9" ht="12.75" customHeight="1">
      <c r="A178" s="161"/>
      <c r="B178" s="960"/>
      <c r="C178" s="962"/>
      <c r="D178" s="164"/>
      <c r="E178" s="164"/>
    </row>
    <row r="179" spans="1:9" ht="12.75" customHeight="1">
      <c r="A179" s="161"/>
      <c r="B179" s="960"/>
      <c r="C179" s="962"/>
      <c r="D179" s="164"/>
      <c r="E179" s="164"/>
    </row>
    <row r="180" spans="1:9">
      <c r="A180" s="161"/>
      <c r="B180" s="164"/>
      <c r="C180" s="164"/>
      <c r="D180" s="164"/>
      <c r="E180" s="164"/>
    </row>
    <row r="181" spans="1:9">
      <c r="A181" s="161"/>
      <c r="B181" s="164"/>
      <c r="C181" s="164"/>
      <c r="D181" s="164"/>
      <c r="E181" s="164"/>
    </row>
    <row r="182" spans="1:9">
      <c r="A182" s="161"/>
      <c r="B182" s="966" t="str">
        <f>B95</f>
        <v>NGGT (TO)</v>
      </c>
      <c r="C182" s="998"/>
      <c r="D182" s="164"/>
      <c r="E182" s="966" t="str">
        <f>B96</f>
        <v>NGGT (SO)</v>
      </c>
      <c r="F182" s="967"/>
      <c r="G182" s="967"/>
      <c r="H182" s="967"/>
      <c r="I182" s="968"/>
    </row>
    <row r="183" spans="1:9" ht="12.4" customHeight="1">
      <c r="A183" s="161"/>
      <c r="B183" s="969" t="s">
        <v>129</v>
      </c>
      <c r="C183" s="971"/>
      <c r="D183" s="164"/>
      <c r="E183" s="963" t="s">
        <v>130</v>
      </c>
      <c r="F183" s="964" t="s">
        <v>130</v>
      </c>
      <c r="G183" s="964" t="s">
        <v>130</v>
      </c>
      <c r="H183" s="964" t="s">
        <v>130</v>
      </c>
      <c r="I183" s="965" t="s">
        <v>130</v>
      </c>
    </row>
    <row r="184" spans="1:9" ht="12.4" customHeight="1">
      <c r="A184" s="161"/>
      <c r="B184" s="963" t="s">
        <v>131</v>
      </c>
      <c r="C184" s="965"/>
      <c r="D184" s="164"/>
      <c r="E184" s="963" t="s">
        <v>132</v>
      </c>
      <c r="F184" s="964" t="s">
        <v>132</v>
      </c>
      <c r="G184" s="964" t="s">
        <v>132</v>
      </c>
      <c r="H184" s="964" t="s">
        <v>132</v>
      </c>
      <c r="I184" s="965" t="s">
        <v>132</v>
      </c>
    </row>
    <row r="185" spans="1:9" ht="12.4" customHeight="1">
      <c r="A185" s="161"/>
      <c r="B185" s="963"/>
      <c r="C185" s="965"/>
      <c r="D185" s="164"/>
      <c r="E185" s="963" t="s">
        <v>133</v>
      </c>
      <c r="F185" s="964" t="s">
        <v>133</v>
      </c>
      <c r="G185" s="964" t="s">
        <v>133</v>
      </c>
      <c r="H185" s="964" t="s">
        <v>133</v>
      </c>
      <c r="I185" s="965" t="s">
        <v>133</v>
      </c>
    </row>
    <row r="186" spans="1:9" ht="12.4" customHeight="1">
      <c r="A186" s="161"/>
      <c r="B186" s="963"/>
      <c r="C186" s="965"/>
      <c r="D186" s="164"/>
      <c r="E186" s="963" t="s">
        <v>134</v>
      </c>
      <c r="F186" s="964" t="s">
        <v>134</v>
      </c>
      <c r="G186" s="964" t="s">
        <v>134</v>
      </c>
      <c r="H186" s="964" t="s">
        <v>134</v>
      </c>
      <c r="I186" s="965" t="s">
        <v>134</v>
      </c>
    </row>
    <row r="187" spans="1:9" ht="12.4" customHeight="1">
      <c r="A187" s="161"/>
      <c r="B187" s="960"/>
      <c r="C187" s="962"/>
      <c r="D187" s="164"/>
      <c r="E187" s="963" t="s">
        <v>135</v>
      </c>
      <c r="F187" s="964" t="s">
        <v>135</v>
      </c>
      <c r="G187" s="964" t="s">
        <v>135</v>
      </c>
      <c r="H187" s="964" t="s">
        <v>135</v>
      </c>
      <c r="I187" s="965" t="s">
        <v>135</v>
      </c>
    </row>
    <row r="188" spans="1:9" ht="12.4" customHeight="1">
      <c r="A188" s="161"/>
      <c r="B188" s="960"/>
      <c r="C188" s="962"/>
      <c r="D188" s="164"/>
      <c r="E188" s="963" t="s">
        <v>136</v>
      </c>
      <c r="F188" s="964" t="s">
        <v>136</v>
      </c>
      <c r="G188" s="964" t="s">
        <v>136</v>
      </c>
      <c r="H188" s="964" t="s">
        <v>136</v>
      </c>
      <c r="I188" s="965" t="s">
        <v>136</v>
      </c>
    </row>
    <row r="189" spans="1:9" ht="12.4" customHeight="1">
      <c r="A189" s="161"/>
      <c r="B189" s="960"/>
      <c r="C189" s="962"/>
      <c r="D189" s="164"/>
      <c r="E189" s="963" t="s">
        <v>137</v>
      </c>
      <c r="F189" s="964" t="s">
        <v>137</v>
      </c>
      <c r="G189" s="964" t="s">
        <v>137</v>
      </c>
      <c r="H189" s="964" t="s">
        <v>137</v>
      </c>
      <c r="I189" s="965" t="s">
        <v>137</v>
      </c>
    </row>
    <row r="190" spans="1:9">
      <c r="A190" s="161"/>
      <c r="B190" s="164"/>
      <c r="C190" s="164"/>
      <c r="D190" s="164"/>
      <c r="E190" s="164"/>
    </row>
    <row r="191" spans="1:9">
      <c r="A191" s="161"/>
      <c r="B191" s="164"/>
      <c r="C191" s="164"/>
      <c r="D191" s="164"/>
      <c r="E191" s="164"/>
    </row>
    <row r="192" spans="1:9">
      <c r="A192" s="161"/>
      <c r="B192" s="966" t="str">
        <f>B97</f>
        <v>NGET (TO)</v>
      </c>
      <c r="C192" s="998"/>
      <c r="D192" s="164"/>
      <c r="E192" s="966" t="str">
        <f>B98</f>
        <v>NGET (SO)</v>
      </c>
      <c r="F192" s="967"/>
      <c r="G192" s="967"/>
      <c r="H192" s="967"/>
      <c r="I192" s="968"/>
    </row>
    <row r="193" spans="1:9" ht="12.75" customHeight="1">
      <c r="A193" s="161"/>
      <c r="B193" s="969" t="s">
        <v>138</v>
      </c>
      <c r="C193" s="971"/>
      <c r="D193" s="164"/>
      <c r="E193" s="963" t="s">
        <v>139</v>
      </c>
      <c r="F193" s="964" t="s">
        <v>139</v>
      </c>
      <c r="G193" s="964" t="s">
        <v>139</v>
      </c>
      <c r="H193" s="964" t="s">
        <v>139</v>
      </c>
      <c r="I193" s="965" t="s">
        <v>139</v>
      </c>
    </row>
    <row r="194" spans="1:9" ht="12.75" customHeight="1">
      <c r="A194" s="161"/>
      <c r="B194" s="963" t="s">
        <v>129</v>
      </c>
      <c r="C194" s="965"/>
      <c r="D194" s="164"/>
      <c r="E194" s="963" t="s">
        <v>140</v>
      </c>
      <c r="F194" s="964" t="s">
        <v>141</v>
      </c>
      <c r="G194" s="964" t="s">
        <v>141</v>
      </c>
      <c r="H194" s="964" t="s">
        <v>141</v>
      </c>
      <c r="I194" s="965" t="s">
        <v>141</v>
      </c>
    </row>
    <row r="195" spans="1:9" ht="12.75" customHeight="1">
      <c r="A195" s="161"/>
      <c r="B195" s="963" t="s">
        <v>142</v>
      </c>
      <c r="C195" s="965"/>
      <c r="D195" s="164"/>
      <c r="E195" s="963" t="s">
        <v>143</v>
      </c>
      <c r="F195" s="964" t="s">
        <v>143</v>
      </c>
      <c r="G195" s="964" t="s">
        <v>143</v>
      </c>
      <c r="H195" s="964" t="s">
        <v>143</v>
      </c>
      <c r="I195" s="965" t="s">
        <v>143</v>
      </c>
    </row>
    <row r="196" spans="1:9" ht="12.75" customHeight="1">
      <c r="A196" s="161"/>
      <c r="B196" s="963" t="s">
        <v>144</v>
      </c>
      <c r="C196" s="965"/>
      <c r="D196" s="164"/>
      <c r="E196" s="963"/>
      <c r="F196" s="964"/>
      <c r="G196" s="964"/>
      <c r="H196" s="964"/>
      <c r="I196" s="965"/>
    </row>
    <row r="197" spans="1:9" ht="12.75" customHeight="1">
      <c r="A197" s="161"/>
      <c r="B197" s="960"/>
      <c r="C197" s="962"/>
      <c r="D197" s="164"/>
      <c r="E197" s="960"/>
      <c r="F197" s="961"/>
      <c r="G197" s="961"/>
      <c r="H197" s="961"/>
      <c r="I197" s="962"/>
    </row>
    <row r="198" spans="1:9" ht="12.75" customHeight="1">
      <c r="A198" s="161"/>
      <c r="B198" s="960"/>
      <c r="C198" s="962"/>
      <c r="D198" s="164"/>
      <c r="E198" s="960"/>
      <c r="F198" s="961"/>
      <c r="G198" s="961"/>
      <c r="H198" s="961"/>
      <c r="I198" s="962"/>
    </row>
    <row r="199" spans="1:9" ht="12.75" customHeight="1">
      <c r="A199" s="161"/>
      <c r="B199" s="960"/>
      <c r="C199" s="962"/>
      <c r="D199" s="164"/>
      <c r="E199" s="960"/>
      <c r="F199" s="961"/>
      <c r="G199" s="961"/>
      <c r="H199" s="961"/>
      <c r="I199" s="962"/>
    </row>
    <row r="200" spans="1:9" s="18" customFormat="1" ht="12.75" customHeight="1">
      <c r="A200" s="634"/>
      <c r="B200" s="634"/>
      <c r="C200" s="634"/>
      <c r="D200" s="635"/>
      <c r="E200" s="636"/>
      <c r="F200" s="636"/>
      <c r="G200" s="636"/>
      <c r="H200" s="636"/>
      <c r="I200" s="636"/>
    </row>
    <row r="201" spans="1:9" s="18" customFormat="1" ht="12.75" customHeight="1">
      <c r="A201" s="634"/>
      <c r="B201" s="634"/>
      <c r="C201" s="634"/>
      <c r="D201" s="635"/>
      <c r="E201" s="636"/>
      <c r="F201" s="636"/>
      <c r="G201" s="636"/>
      <c r="H201" s="636"/>
      <c r="I201" s="636"/>
    </row>
    <row r="202" spans="1:9">
      <c r="A202" s="161"/>
      <c r="B202" s="966" t="str">
        <f>B145</f>
        <v>SPT</v>
      </c>
      <c r="C202" s="998"/>
      <c r="D202" s="164"/>
      <c r="E202" s="966" t="str">
        <f>B100</f>
        <v>SHET</v>
      </c>
      <c r="F202" s="967"/>
      <c r="G202" s="967"/>
      <c r="H202" s="967"/>
      <c r="I202" s="968"/>
    </row>
    <row r="203" spans="1:9" ht="12.75" customHeight="1">
      <c r="A203" s="161"/>
      <c r="B203" s="969" t="s">
        <v>138</v>
      </c>
      <c r="C203" s="971"/>
      <c r="D203" s="164"/>
      <c r="E203" s="969" t="s">
        <v>138</v>
      </c>
      <c r="F203" s="970"/>
      <c r="G203" s="970"/>
      <c r="H203" s="970"/>
      <c r="I203" s="971"/>
    </row>
    <row r="204" spans="1:9" ht="12.75" customHeight="1">
      <c r="A204" s="161"/>
      <c r="B204" s="963" t="s">
        <v>129</v>
      </c>
      <c r="C204" s="965"/>
      <c r="D204" s="164"/>
      <c r="E204" s="963" t="s">
        <v>129</v>
      </c>
      <c r="F204" s="964"/>
      <c r="G204" s="964"/>
      <c r="H204" s="964"/>
      <c r="I204" s="965"/>
    </row>
    <row r="205" spans="1:9" ht="12.75" customHeight="1">
      <c r="A205" s="161"/>
      <c r="B205" s="963" t="s">
        <v>142</v>
      </c>
      <c r="C205" s="965"/>
      <c r="D205" s="164"/>
      <c r="E205" s="963" t="s">
        <v>142</v>
      </c>
      <c r="F205" s="964"/>
      <c r="G205" s="964"/>
      <c r="H205" s="964"/>
      <c r="I205" s="965"/>
    </row>
    <row r="206" spans="1:9" ht="12.75" customHeight="1">
      <c r="A206" s="161"/>
      <c r="B206" s="963" t="s">
        <v>144</v>
      </c>
      <c r="C206" s="965"/>
      <c r="D206" s="164"/>
      <c r="E206" s="963" t="s">
        <v>144</v>
      </c>
      <c r="F206" s="964"/>
      <c r="G206" s="964"/>
      <c r="H206" s="964"/>
      <c r="I206" s="965"/>
    </row>
    <row r="207" spans="1:9" ht="12.75" customHeight="1">
      <c r="A207" s="161"/>
      <c r="B207" s="960" t="s">
        <v>145</v>
      </c>
      <c r="C207" s="962"/>
      <c r="D207" s="164"/>
      <c r="E207" s="960" t="s">
        <v>145</v>
      </c>
      <c r="F207" s="961"/>
      <c r="G207" s="961"/>
      <c r="H207" s="961"/>
      <c r="I207" s="962"/>
    </row>
    <row r="208" spans="1:9" ht="12.75" customHeight="1">
      <c r="A208" s="161"/>
      <c r="B208" s="960"/>
      <c r="C208" s="962"/>
      <c r="D208" s="164"/>
      <c r="E208" s="960"/>
      <c r="F208" s="961"/>
      <c r="G208" s="961"/>
      <c r="H208" s="961"/>
      <c r="I208" s="962"/>
    </row>
    <row r="209" spans="1:14" ht="12.75" customHeight="1">
      <c r="A209" s="161"/>
      <c r="B209" s="960"/>
      <c r="C209" s="962"/>
      <c r="D209" s="164"/>
      <c r="E209" s="960"/>
      <c r="F209" s="961"/>
      <c r="G209" s="961"/>
      <c r="H209" s="961"/>
      <c r="I209" s="962"/>
    </row>
    <row r="210" spans="1:14">
      <c r="A210" s="161"/>
      <c r="D210" s="164"/>
      <c r="E210" s="164"/>
    </row>
    <row r="211" spans="1:14">
      <c r="A211" s="161"/>
      <c r="D211" s="164"/>
      <c r="E211" s="164"/>
    </row>
    <row r="212" spans="1:14" ht="12.75" customHeight="1">
      <c r="A212" s="161"/>
      <c r="B212" s="997" t="s">
        <v>146</v>
      </c>
      <c r="C212" s="997"/>
      <c r="D212" s="997"/>
      <c r="E212" s="237"/>
      <c r="F212" s="175"/>
      <c r="G212" s="175"/>
      <c r="H212" s="175"/>
      <c r="I212" s="175"/>
      <c r="J212" s="175"/>
      <c r="K212" s="175"/>
      <c r="L212" s="175"/>
      <c r="M212" s="175"/>
      <c r="N212" s="175"/>
    </row>
    <row r="213" spans="1:14">
      <c r="A213" s="161"/>
      <c r="B213" s="164"/>
      <c r="C213" s="164"/>
      <c r="D213" s="164"/>
      <c r="E213" s="164"/>
    </row>
    <row r="214" spans="1:14" ht="25.5">
      <c r="A214" s="161"/>
      <c r="B214" s="166" t="s">
        <v>147</v>
      </c>
      <c r="C214" s="165" t="s">
        <v>148</v>
      </c>
      <c r="D214" s="164"/>
      <c r="E214" s="164"/>
    </row>
    <row r="215" spans="1:14" ht="25.5">
      <c r="A215" s="161"/>
      <c r="B215" s="167" t="s">
        <v>149</v>
      </c>
      <c r="C215" s="242" t="s">
        <v>150</v>
      </c>
      <c r="D215" s="164"/>
      <c r="E215" s="164"/>
    </row>
    <row r="216" spans="1:14">
      <c r="B216" s="256"/>
      <c r="C216" s="28"/>
      <c r="D216" s="28"/>
      <c r="E216" s="28"/>
      <c r="F216" s="28"/>
      <c r="G216" s="28"/>
      <c r="H216" s="28"/>
      <c r="I216" s="28"/>
      <c r="J216" s="28"/>
    </row>
    <row r="217" spans="1:14">
      <c r="B217" s="162"/>
      <c r="I217" s="50"/>
    </row>
    <row r="218" spans="1:14">
      <c r="B218" s="932" t="s">
        <v>151</v>
      </c>
      <c r="I218" s="50"/>
    </row>
    <row r="219" spans="1:14">
      <c r="B219" s="647" t="s">
        <v>152</v>
      </c>
    </row>
    <row r="220" spans="1:14">
      <c r="B220" s="648" t="s">
        <v>153</v>
      </c>
    </row>
    <row r="221" spans="1:14">
      <c r="B221" s="651" t="s">
        <v>154</v>
      </c>
    </row>
    <row r="222" spans="1:14">
      <c r="B222" s="649"/>
    </row>
    <row r="223" spans="1:14">
      <c r="B223" s="171"/>
    </row>
    <row r="224" spans="1:14">
      <c r="B224" s="933" t="s">
        <v>155</v>
      </c>
    </row>
    <row r="225" spans="2:2">
      <c r="B225" s="650" t="s">
        <v>156</v>
      </c>
    </row>
    <row r="226" spans="2:2">
      <c r="B226" s="648" t="s">
        <v>157</v>
      </c>
    </row>
    <row r="227" spans="2:2">
      <c r="B227" s="648" t="s">
        <v>158</v>
      </c>
    </row>
    <row r="228" spans="2:2">
      <c r="B228" s="648" t="s">
        <v>159</v>
      </c>
    </row>
    <row r="229" spans="2:2">
      <c r="B229" s="648" t="s">
        <v>160</v>
      </c>
    </row>
    <row r="230" spans="2:2">
      <c r="B230" s="648" t="s">
        <v>161</v>
      </c>
    </row>
    <row r="231" spans="2:2">
      <c r="B231" s="648" t="s">
        <v>162</v>
      </c>
    </row>
    <row r="232" spans="2:2">
      <c r="B232" s="648"/>
    </row>
    <row r="233" spans="2:2">
      <c r="B233" s="649"/>
    </row>
    <row r="234" spans="2:2">
      <c r="B234" s="171"/>
    </row>
    <row r="235" spans="2:2">
      <c r="B235" s="933" t="s">
        <v>163</v>
      </c>
    </row>
    <row r="236" spans="2:2">
      <c r="B236" s="650" t="s">
        <v>164</v>
      </c>
    </row>
    <row r="237" spans="2:2">
      <c r="B237" s="648" t="s">
        <v>165</v>
      </c>
    </row>
    <row r="238" spans="2:2">
      <c r="B238" s="648" t="s">
        <v>166</v>
      </c>
    </row>
    <row r="239" spans="2:2">
      <c r="B239" s="648" t="s">
        <v>167</v>
      </c>
    </row>
    <row r="240" spans="2:2">
      <c r="B240" s="648" t="s">
        <v>168</v>
      </c>
    </row>
    <row r="241" spans="2:2">
      <c r="B241" s="649"/>
    </row>
    <row r="242" spans="2:2">
      <c r="B242" s="171"/>
    </row>
    <row r="243" spans="2:2">
      <c r="B243" s="933" t="s">
        <v>169</v>
      </c>
    </row>
    <row r="244" spans="2:2">
      <c r="B244" s="650" t="s">
        <v>170</v>
      </c>
    </row>
    <row r="245" spans="2:2">
      <c r="B245" s="648" t="s">
        <v>171</v>
      </c>
    </row>
    <row r="246" spans="2:2">
      <c r="B246" s="649"/>
    </row>
    <row r="247" spans="2:2">
      <c r="B247" s="171"/>
    </row>
    <row r="248" spans="2:2">
      <c r="B248" s="933" t="s">
        <v>172</v>
      </c>
    </row>
    <row r="249" spans="2:2">
      <c r="B249" s="650" t="s">
        <v>173</v>
      </c>
    </row>
    <row r="250" spans="2:2">
      <c r="B250" s="648" t="s">
        <v>174</v>
      </c>
    </row>
    <row r="251" spans="2:2">
      <c r="B251" s="649" t="s">
        <v>86</v>
      </c>
    </row>
    <row r="252" spans="2:2">
      <c r="B252" s="171"/>
    </row>
    <row r="253" spans="2:2">
      <c r="B253" s="933" t="s">
        <v>175</v>
      </c>
    </row>
    <row r="254" spans="2:2">
      <c r="B254" s="650" t="s">
        <v>176</v>
      </c>
    </row>
    <row r="255" spans="2:2">
      <c r="B255" s="648" t="s">
        <v>177</v>
      </c>
    </row>
    <row r="256" spans="2:2">
      <c r="B256" s="648"/>
    </row>
    <row r="257" spans="2:2">
      <c r="B257" s="649"/>
    </row>
    <row r="258" spans="2:2">
      <c r="B258" s="171"/>
    </row>
    <row r="259" spans="2:2">
      <c r="B259" s="933" t="s">
        <v>178</v>
      </c>
    </row>
    <row r="260" spans="2:2">
      <c r="B260" s="650" t="s">
        <v>179</v>
      </c>
    </row>
    <row r="261" spans="2:2">
      <c r="B261" s="648" t="s">
        <v>180</v>
      </c>
    </row>
    <row r="262" spans="2:2">
      <c r="B262" s="648"/>
    </row>
    <row r="263" spans="2:2">
      <c r="B263" s="649"/>
    </row>
    <row r="264" spans="2:2">
      <c r="B264" s="171"/>
    </row>
    <row r="265" spans="2:2">
      <c r="B265" s="933" t="s">
        <v>181</v>
      </c>
    </row>
    <row r="266" spans="2:2">
      <c r="B266" s="650" t="s">
        <v>152</v>
      </c>
    </row>
    <row r="267" spans="2:2">
      <c r="B267" s="648" t="s">
        <v>153</v>
      </c>
    </row>
    <row r="268" spans="2:2">
      <c r="B268" s="649"/>
    </row>
  </sheetData>
  <sheetProtection algorithmName="SHA-512" hashValue="pGze1vk7gyjCXuzQMBHd/jFLH7HVjUs6LEDQZ4DWVWBi4rFRWWUHJP+kPtgWk88iqTZqcU7LD6MR79SC/NX4iQ==" saltValue="OsJxWjckCd5HZ0XC8sR8/Q==" spinCount="100000" sheet="1" formatCells="0" formatColumns="0" formatRows="0" insertColumns="0" insertRows="0" insertHyperlinks="0" deleteColumns="0" deleteRows="0" sort="0" autoFilter="0" pivotTables="0"/>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86" priority="20">
      <formula>AND(#REF!="Actuals",#REF!="Forecast")</formula>
    </cfRule>
  </conditionalFormatting>
  <conditionalFormatting sqref="C47">
    <cfRule type="expression" dxfId="85" priority="18">
      <formula>AND(#REF!="Actuals",#REF!="Forecast")</formula>
    </cfRule>
  </conditionalFormatting>
  <conditionalFormatting sqref="C50:J50">
    <cfRule type="expression" dxfId="84" priority="17">
      <formula>AND(#REF!="Actuals",#REF!="Forecast")</formula>
    </cfRule>
  </conditionalFormatting>
  <conditionalFormatting sqref="B14:D30">
    <cfRule type="cellIs" dxfId="83" priority="14" operator="equal">
      <formula>"Forecast"</formula>
    </cfRule>
  </conditionalFormatting>
  <conditionalFormatting sqref="B23:C30 E24:F27">
    <cfRule type="expression" dxfId="82" priority="111">
      <formula>$D13="Forecast"</formula>
    </cfRule>
  </conditionalFormatting>
  <conditionalFormatting sqref="K71">
    <cfRule type="expression" dxfId="81" priority="5">
      <formula>AND(#REF!="Actuals",#REF!="Forecast")</formula>
    </cfRule>
  </conditionalFormatting>
  <conditionalFormatting sqref="K72:T72">
    <cfRule type="expression" dxfId="80" priority="4">
      <formula>AND(#REF!="Actuals",#REF!="Forecast")</formula>
    </cfRule>
  </conditionalFormatting>
  <conditionalFormatting sqref="C62:L62">
    <cfRule type="expression" dxfId="79" priority="3">
      <formula>AND(#REF!="Actuals",#REF!="Forecast")</formula>
    </cfRule>
  </conditionalFormatting>
  <conditionalFormatting sqref="C118:L118">
    <cfRule type="expression" dxfId="78" priority="1">
      <formula>AND(#REF!="Actuals",#REF!="Forecast")</formula>
    </cfRule>
  </conditionalFormatting>
  <hyperlinks>
    <hyperlink ref="K39" r:id="rId1" display="August 2018 Publication" xr:uid="{4C25CA74-8F18-426B-90FD-0427674682A2}"/>
    <hyperlink ref="K39:M39" r:id="rId2" display="May 2020 Publication" xr:uid="{2A24662E-5DBF-48FB-82FF-1CCBC1825F62}"/>
  </hyperlinks>
  <pageMargins left="0.7" right="0.7" top="0.75" bottom="0.75" header="0.3" footer="0.3"/>
  <pageSetup paperSize="9" orientation="portrait" r:id="rId3"/>
  <customProperties>
    <customPr name="EpmWorksheetKeyString_GUID" r:id="rId4"/>
  </customProperties>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3"/>
  <sheetViews>
    <sheetView showGridLines="0" zoomScale="80" zoomScaleNormal="80" workbookViewId="0">
      <pane ySplit="3" topLeftCell="A4" activePane="bottomLeft" state="frozen"/>
      <selection activeCell="B75" sqref="A1:XFD1048576"/>
      <selection pane="bottomLeft" activeCell="A30" activeCellId="1" sqref="A28:XFD28 A30:XFD30"/>
    </sheetView>
  </sheetViews>
  <sheetFormatPr defaultRowHeight="12.75"/>
  <cols>
    <col min="1" max="1" width="8.375" customWidth="1"/>
    <col min="2" max="2" width="23.75" customWidth="1"/>
    <col min="3" max="3" width="25.75" customWidth="1"/>
    <col min="4" max="4" width="9.75" customWidth="1"/>
  </cols>
  <sheetData>
    <row r="1" spans="1:14" s="18" customFormat="1" ht="20.25">
      <c r="A1" s="720" t="s">
        <v>182</v>
      </c>
      <c r="B1" s="720"/>
      <c r="C1" s="720"/>
      <c r="D1" s="720"/>
      <c r="E1" s="720"/>
      <c r="F1" s="720"/>
      <c r="G1" s="720"/>
      <c r="H1" s="720"/>
      <c r="I1" s="19" t="s">
        <v>183</v>
      </c>
      <c r="J1" s="20"/>
      <c r="K1" s="20"/>
      <c r="L1" s="20"/>
      <c r="M1" s="20"/>
    </row>
    <row r="2" spans="1:14" s="18" customFormat="1" ht="20.25">
      <c r="A2" s="720" t="str">
        <f>'RFPR cover'!C5</f>
        <v>NGET (SO)</v>
      </c>
      <c r="B2" s="720"/>
      <c r="C2" s="720"/>
      <c r="D2" s="720"/>
      <c r="E2" s="720"/>
      <c r="F2" s="720"/>
      <c r="G2" s="720"/>
      <c r="H2" s="720"/>
      <c r="I2" s="20"/>
      <c r="J2" s="20"/>
      <c r="K2" s="20"/>
      <c r="L2" s="20"/>
      <c r="M2" s="20"/>
      <c r="N2" s="298"/>
    </row>
    <row r="3" spans="1:14" s="18" customFormat="1" ht="20.25">
      <c r="A3" s="720">
        <f>'RFPR cover'!C7</f>
        <v>2020</v>
      </c>
      <c r="B3" s="720"/>
      <c r="C3" s="720"/>
      <c r="D3" s="720"/>
      <c r="E3" s="720"/>
      <c r="F3" s="720"/>
      <c r="G3" s="720"/>
      <c r="H3" s="720"/>
      <c r="I3" s="20"/>
      <c r="J3" s="20"/>
      <c r="K3" s="20"/>
      <c r="L3" s="20"/>
      <c r="M3" s="20"/>
      <c r="N3" s="298"/>
    </row>
    <row r="4" spans="1:14">
      <c r="A4" s="13"/>
      <c r="B4" s="13"/>
      <c r="C4" s="13"/>
      <c r="D4" s="13"/>
      <c r="E4" s="13"/>
      <c r="F4" s="13"/>
      <c r="G4" s="13"/>
      <c r="H4" s="13"/>
      <c r="I4" s="447"/>
      <c r="J4" s="447"/>
      <c r="K4" s="447"/>
      <c r="L4" s="447"/>
      <c r="M4" s="447"/>
      <c r="N4" s="28"/>
    </row>
    <row r="5" spans="1:14">
      <c r="A5" s="13"/>
      <c r="B5" s="13"/>
      <c r="C5" s="13"/>
      <c r="D5" s="13"/>
      <c r="E5" s="13"/>
      <c r="F5" s="13"/>
      <c r="G5" s="13"/>
      <c r="H5" s="13"/>
      <c r="I5" s="447"/>
      <c r="J5" s="447"/>
      <c r="K5" s="447"/>
      <c r="L5" s="447"/>
      <c r="M5" s="447"/>
      <c r="N5" s="28"/>
    </row>
    <row r="6" spans="1:14">
      <c r="A6" s="13"/>
      <c r="B6" s="14" t="s">
        <v>184</v>
      </c>
      <c r="C6" s="13"/>
      <c r="D6" s="13"/>
      <c r="E6" s="13"/>
      <c r="F6" s="13"/>
      <c r="G6" s="13"/>
      <c r="H6" s="13"/>
      <c r="I6" s="447"/>
      <c r="J6" s="447"/>
      <c r="K6" s="447"/>
      <c r="L6" s="447"/>
      <c r="M6" s="447"/>
      <c r="N6" s="28"/>
    </row>
    <row r="7" spans="1:14">
      <c r="A7" s="13"/>
      <c r="B7" s="13"/>
      <c r="C7" s="13"/>
      <c r="D7" s="13"/>
      <c r="E7" s="13"/>
      <c r="F7" s="13"/>
      <c r="G7" s="13"/>
      <c r="H7" s="13"/>
      <c r="I7" s="447"/>
      <c r="J7" s="447"/>
      <c r="K7" s="447"/>
      <c r="L7" s="447"/>
      <c r="M7" s="447"/>
      <c r="N7" s="28"/>
    </row>
    <row r="8" spans="1:14">
      <c r="A8" s="13"/>
      <c r="B8" s="934" t="s">
        <v>185</v>
      </c>
      <c r="C8" s="934" t="s">
        <v>186</v>
      </c>
      <c r="D8" s="1001" t="s">
        <v>187</v>
      </c>
      <c r="E8" s="1002"/>
      <c r="F8" s="1002"/>
      <c r="G8" s="1002"/>
      <c r="H8" s="1002"/>
      <c r="I8" s="447"/>
      <c r="J8" s="447"/>
      <c r="K8" s="447"/>
      <c r="L8" s="447"/>
      <c r="M8" s="447"/>
      <c r="N8" s="28"/>
    </row>
    <row r="9" spans="1:14">
      <c r="A9" s="13"/>
      <c r="B9" s="935" t="s">
        <v>188</v>
      </c>
      <c r="C9" s="936">
        <v>44071</v>
      </c>
      <c r="D9" s="999"/>
      <c r="E9" s="1000"/>
      <c r="F9" s="1000"/>
      <c r="G9" s="1000"/>
      <c r="H9" s="1000"/>
      <c r="I9" s="13"/>
      <c r="J9" s="13"/>
      <c r="K9" s="13"/>
      <c r="L9" s="13"/>
      <c r="M9" s="13"/>
    </row>
    <row r="10" spans="1:14">
      <c r="A10" s="13"/>
      <c r="B10" s="935" t="s">
        <v>189</v>
      </c>
      <c r="C10" s="936"/>
      <c r="D10" s="999"/>
      <c r="E10" s="1000"/>
      <c r="F10" s="1000"/>
      <c r="G10" s="1000"/>
      <c r="H10" s="1000"/>
      <c r="I10" s="13"/>
      <c r="J10" s="13"/>
      <c r="K10" s="13"/>
      <c r="L10" s="13"/>
      <c r="M10" s="13"/>
    </row>
    <row r="11" spans="1:14">
      <c r="A11" s="13"/>
      <c r="B11" s="935" t="s">
        <v>190</v>
      </c>
      <c r="C11" s="936"/>
      <c r="D11" s="999"/>
      <c r="E11" s="1000"/>
      <c r="F11" s="1000"/>
      <c r="G11" s="1000"/>
      <c r="H11" s="1000"/>
      <c r="I11" s="13"/>
      <c r="J11" s="13"/>
      <c r="K11" s="13"/>
      <c r="L11" s="13"/>
      <c r="M11" s="13"/>
    </row>
    <row r="12" spans="1:14">
      <c r="A12" s="13"/>
      <c r="B12" s="935" t="s">
        <v>191</v>
      </c>
      <c r="C12" s="936"/>
      <c r="D12" s="999"/>
      <c r="E12" s="1000"/>
      <c r="F12" s="1000"/>
      <c r="G12" s="1000"/>
      <c r="H12" s="1000"/>
      <c r="I12" s="13"/>
      <c r="J12" s="13"/>
      <c r="K12" s="13"/>
      <c r="L12" s="13"/>
      <c r="M12" s="13"/>
    </row>
    <row r="13" spans="1:14">
      <c r="A13" s="13"/>
      <c r="B13" s="935" t="s">
        <v>192</v>
      </c>
      <c r="C13" s="936"/>
      <c r="D13" s="999"/>
      <c r="E13" s="1000"/>
      <c r="F13" s="1000"/>
      <c r="G13" s="1000"/>
      <c r="H13" s="1000"/>
      <c r="I13" s="13"/>
      <c r="J13" s="13"/>
      <c r="K13" s="13"/>
      <c r="L13" s="13"/>
      <c r="M13" s="13"/>
    </row>
    <row r="14" spans="1:14">
      <c r="A14" s="13"/>
      <c r="B14" s="935" t="s">
        <v>193</v>
      </c>
      <c r="C14" s="936"/>
      <c r="D14" s="999"/>
      <c r="E14" s="1000"/>
      <c r="F14" s="1000"/>
      <c r="G14" s="1000"/>
      <c r="H14" s="1000"/>
      <c r="I14" s="13"/>
      <c r="J14" s="13"/>
      <c r="K14" s="13"/>
      <c r="L14" s="13"/>
      <c r="M14" s="13"/>
    </row>
    <row r="15" spans="1:14">
      <c r="A15" s="13"/>
      <c r="B15" s="935" t="s">
        <v>194</v>
      </c>
      <c r="C15" s="936"/>
      <c r="D15" s="999"/>
      <c r="E15" s="1000"/>
      <c r="F15" s="1000"/>
      <c r="G15" s="1000"/>
      <c r="H15" s="1000"/>
      <c r="I15" s="13"/>
      <c r="J15" s="13"/>
      <c r="K15" s="13"/>
      <c r="L15" s="13"/>
      <c r="M15" s="13"/>
    </row>
    <row r="16" spans="1:14">
      <c r="A16" s="13"/>
      <c r="B16" s="935" t="s">
        <v>195</v>
      </c>
      <c r="C16" s="936"/>
      <c r="D16" s="999"/>
      <c r="E16" s="1000"/>
      <c r="F16" s="1000"/>
      <c r="G16" s="1000"/>
      <c r="H16" s="1000"/>
      <c r="I16" s="13"/>
      <c r="J16" s="13"/>
      <c r="K16" s="13"/>
      <c r="L16" s="13"/>
      <c r="M16" s="13"/>
    </row>
    <row r="17" spans="1:13">
      <c r="A17" s="13"/>
      <c r="B17" s="935" t="s">
        <v>196</v>
      </c>
      <c r="C17" s="936"/>
      <c r="D17" s="999"/>
      <c r="E17" s="1000"/>
      <c r="F17" s="1000"/>
      <c r="G17" s="1000"/>
      <c r="H17" s="1000"/>
      <c r="I17" s="13"/>
      <c r="J17" s="13"/>
      <c r="K17" s="13"/>
      <c r="L17" s="13"/>
      <c r="M17" s="13"/>
    </row>
    <row r="18" spans="1:13">
      <c r="A18" s="13"/>
      <c r="B18" s="935" t="s">
        <v>197</v>
      </c>
      <c r="C18" s="936"/>
      <c r="D18" s="999"/>
      <c r="E18" s="1000"/>
      <c r="F18" s="1000"/>
      <c r="G18" s="1000"/>
      <c r="H18" s="1000"/>
      <c r="I18" s="13"/>
      <c r="J18" s="13"/>
      <c r="K18" s="13"/>
      <c r="L18" s="13"/>
      <c r="M18" s="13"/>
    </row>
    <row r="19" spans="1:13">
      <c r="A19" s="13"/>
      <c r="B19" s="13"/>
      <c r="C19" s="13"/>
      <c r="D19" s="13"/>
      <c r="E19" s="13"/>
      <c r="F19" s="13"/>
      <c r="G19" s="13"/>
      <c r="H19" s="13"/>
      <c r="I19" s="13"/>
      <c r="J19" s="13"/>
      <c r="K19" s="13"/>
      <c r="L19" s="13"/>
      <c r="M19" s="13"/>
    </row>
    <row r="20" spans="1:13">
      <c r="A20" s="13"/>
      <c r="B20" s="171"/>
      <c r="C20" s="13"/>
      <c r="D20" s="13"/>
      <c r="E20" s="13"/>
      <c r="F20" s="13"/>
      <c r="G20" s="13"/>
      <c r="H20" s="13"/>
      <c r="I20" s="13"/>
      <c r="J20" s="13"/>
      <c r="K20" s="13"/>
      <c r="L20" s="13"/>
    </row>
    <row r="21" spans="1:13">
      <c r="A21" s="13"/>
      <c r="B21" s="238" t="s">
        <v>198</v>
      </c>
      <c r="C21" s="13"/>
      <c r="D21" s="13"/>
      <c r="E21" s="13"/>
      <c r="F21" s="13"/>
      <c r="G21" s="13"/>
      <c r="H21" s="13"/>
      <c r="I21" s="13"/>
      <c r="J21" s="13"/>
      <c r="K21" s="13"/>
      <c r="L21" s="13"/>
    </row>
    <row r="22" spans="1:13">
      <c r="A22" s="13"/>
      <c r="B22" s="238" t="s">
        <v>199</v>
      </c>
      <c r="C22" s="13"/>
      <c r="D22" s="13"/>
      <c r="E22" s="13"/>
      <c r="F22" s="13"/>
      <c r="G22" s="13"/>
      <c r="H22" s="13"/>
      <c r="I22" s="13"/>
      <c r="J22" s="13"/>
      <c r="K22" s="13"/>
      <c r="L22" s="13"/>
    </row>
    <row r="23" spans="1:13">
      <c r="A23" s="13"/>
      <c r="B23" s="238" t="s">
        <v>200</v>
      </c>
      <c r="C23" s="13"/>
      <c r="D23" s="13"/>
      <c r="E23" s="13"/>
      <c r="F23" s="13"/>
      <c r="G23" s="13"/>
      <c r="H23" s="13"/>
      <c r="I23" s="13"/>
      <c r="J23" s="13"/>
      <c r="K23" s="13"/>
      <c r="L23" s="13"/>
    </row>
    <row r="24" spans="1:13">
      <c r="B24" s="238" t="s">
        <v>201</v>
      </c>
    </row>
    <row r="25" spans="1:13">
      <c r="B25" s="238" t="s">
        <v>202</v>
      </c>
    </row>
    <row r="26" spans="1:13">
      <c r="B26" s="238" t="s">
        <v>203</v>
      </c>
    </row>
    <row r="27" spans="1:13">
      <c r="B27" s="238" t="s">
        <v>204</v>
      </c>
    </row>
    <row r="28" spans="1:13">
      <c r="B28" s="238" t="s">
        <v>205</v>
      </c>
    </row>
    <row r="29" spans="1:13">
      <c r="B29" s="238" t="s">
        <v>206</v>
      </c>
    </row>
    <row r="30" spans="1:13">
      <c r="B30" s="238" t="s">
        <v>207</v>
      </c>
    </row>
    <row r="31" spans="1:13">
      <c r="B31" s="238" t="s">
        <v>208</v>
      </c>
    </row>
    <row r="32" spans="1:13">
      <c r="B32" s="238" t="s">
        <v>209</v>
      </c>
    </row>
    <row r="33" spans="2:2">
      <c r="B33" s="238" t="s">
        <v>210</v>
      </c>
    </row>
  </sheetData>
  <sheetProtection algorithmName="SHA-512" hashValue="lOB1VFk8gZbexSzG3+gL89gLPCeqFlXrrD5sSMcuT0pma0IthEWDzAobgRoJtf/BcSNbUOUcOYAN9GNEzGDH4A==" saltValue="IifV/vk4UevYx+pkdwPoug==" spinCount="100000" sheet="1" formatCells="0" formatColumns="0" formatRows="0" insertColumns="0" insertRows="0" insertHyperlinks="0" deleteColumns="0" deleteRows="0" sort="0" autoFilter="0" pivotTables="0"/>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8" location="'R8 - Net Debt'!A1" display="R8 - Net Debt" xr:uid="{00000000-0004-0000-0200-000007000000}"/>
    <hyperlink ref="B29" location="'R9 - RAV'!A1" display="R9 - RAV" xr:uid="{00000000-0004-0000-0200-000008000000}"/>
    <hyperlink ref="B31" location="'R11 - Dividends'!A1" display="R11 - Dividends" xr:uid="{00000000-0004-0000-0200-000009000000}"/>
    <hyperlink ref="B32" location="'R12 - Pensions'!A1" display="R12 - Pensions" xr:uid="{00000000-0004-0000-0200-00000A000000}"/>
    <hyperlink ref="B33" location="'R13 - Other Activities '!A1" display="R13 - Other Activities" xr:uid="{00000000-0004-0000-0200-00000B000000}"/>
    <hyperlink ref="B30" location="'R10 - Tax'!A1" display="R10 - Tax" xr:uid="{00000000-0004-0000-0200-00000C000000}"/>
  </hyperlinks>
  <pageMargins left="0.70866141732283472" right="0.70866141732283472" top="0.74803149606299213" bottom="0.74803149606299213" header="0.31496062992125984" footer="0.31496062992125984"/>
  <pageSetup scale="7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activeCell="C25" sqref="C25"/>
    </sheetView>
  </sheetViews>
  <sheetFormatPr defaultRowHeight="12.75"/>
  <cols>
    <col min="1" max="1" width="19.125" bestFit="1" customWidth="1"/>
    <col min="2" max="2" width="12.125" bestFit="1" customWidth="1"/>
    <col min="3" max="3" width="104.125" customWidth="1"/>
    <col min="4" max="4" width="35.5" customWidth="1"/>
  </cols>
  <sheetData>
    <row r="1" spans="1:4" s="18" customFormat="1" ht="20.25">
      <c r="A1" s="16" t="s">
        <v>211</v>
      </c>
      <c r="B1" s="16"/>
      <c r="C1" s="16"/>
      <c r="D1" s="16"/>
    </row>
    <row r="2" spans="1:4" s="18" customFormat="1" ht="20.25">
      <c r="A2" s="16" t="str">
        <f>'RFPR cover'!C5</f>
        <v>NGET (SO)</v>
      </c>
      <c r="B2" s="16"/>
      <c r="C2" s="16"/>
      <c r="D2" s="16"/>
    </row>
    <row r="3" spans="1:4" s="18" customFormat="1" ht="20.25">
      <c r="A3" s="16">
        <f>'RFPR cover'!C7</f>
        <v>2020</v>
      </c>
      <c r="B3" s="16"/>
      <c r="C3" s="16"/>
      <c r="D3" s="16"/>
    </row>
    <row r="4" spans="1:4" s="18" customFormat="1" ht="20.25">
      <c r="A4" s="673"/>
      <c r="B4" s="673"/>
      <c r="C4" s="673"/>
      <c r="D4" s="673"/>
    </row>
    <row r="5" spans="1:4" ht="30">
      <c r="A5" s="670" t="s">
        <v>212</v>
      </c>
      <c r="B5" s="671" t="s">
        <v>213</v>
      </c>
      <c r="C5" s="672" t="s">
        <v>214</v>
      </c>
    </row>
    <row r="6" spans="1:4">
      <c r="A6" s="278">
        <v>1.1000000000000001</v>
      </c>
      <c r="B6" s="680" t="s">
        <v>215</v>
      </c>
      <c r="C6" s="687" t="s">
        <v>216</v>
      </c>
    </row>
    <row r="7" spans="1:4">
      <c r="A7" s="278">
        <v>1.1000000000000001</v>
      </c>
      <c r="B7" s="680" t="s">
        <v>215</v>
      </c>
      <c r="C7" s="687" t="s">
        <v>217</v>
      </c>
    </row>
    <row r="8" spans="1:4">
      <c r="A8" s="278">
        <v>1.1000000000000001</v>
      </c>
      <c r="B8" s="678" t="s">
        <v>218</v>
      </c>
      <c r="C8" s="686" t="s">
        <v>219</v>
      </c>
    </row>
    <row r="9" spans="1:4" ht="25.5">
      <c r="A9" s="278">
        <v>1.1000000000000001</v>
      </c>
      <c r="B9" s="678" t="s">
        <v>220</v>
      </c>
      <c r="C9" s="686" t="s">
        <v>221</v>
      </c>
    </row>
    <row r="10" spans="1:4">
      <c r="A10" s="278">
        <v>1.1000000000000001</v>
      </c>
      <c r="B10" s="678" t="s">
        <v>220</v>
      </c>
      <c r="C10" s="686" t="s">
        <v>222</v>
      </c>
    </row>
    <row r="11" spans="1:4">
      <c r="A11" s="278">
        <v>1.1000000000000001</v>
      </c>
      <c r="B11" s="678" t="s">
        <v>223</v>
      </c>
      <c r="C11" s="686" t="s">
        <v>224</v>
      </c>
    </row>
    <row r="12" spans="1:4" ht="25.5">
      <c r="A12" s="278">
        <v>1.1000000000000001</v>
      </c>
      <c r="B12" s="678" t="s">
        <v>220</v>
      </c>
      <c r="C12" s="686" t="s">
        <v>225</v>
      </c>
    </row>
    <row r="13" spans="1:4" ht="51">
      <c r="A13" s="278">
        <v>1.1000000000000001</v>
      </c>
      <c r="B13" s="678" t="s">
        <v>220</v>
      </c>
      <c r="C13" s="686" t="s">
        <v>226</v>
      </c>
    </row>
    <row r="14" spans="1:4">
      <c r="A14" s="279">
        <v>1.1000000000000001</v>
      </c>
      <c r="B14" s="678" t="s">
        <v>227</v>
      </c>
      <c r="C14" s="686" t="s">
        <v>228</v>
      </c>
    </row>
    <row r="15" spans="1:4">
      <c r="A15" s="279">
        <v>1.1000000000000001</v>
      </c>
      <c r="B15" s="678" t="s">
        <v>218</v>
      </c>
      <c r="C15" s="686" t="s">
        <v>229</v>
      </c>
    </row>
    <row r="16" spans="1:4" ht="38.25">
      <c r="A16" s="279">
        <v>1.1000000000000001</v>
      </c>
      <c r="B16" s="678" t="s">
        <v>230</v>
      </c>
      <c r="C16" s="686" t="s">
        <v>231</v>
      </c>
    </row>
    <row r="17" spans="1:3">
      <c r="A17" s="279">
        <v>1.1000000000000001</v>
      </c>
      <c r="B17" s="678" t="s">
        <v>223</v>
      </c>
      <c r="C17" s="239" t="s">
        <v>232</v>
      </c>
    </row>
    <row r="18" spans="1:3" ht="25.5">
      <c r="A18" s="279">
        <v>1.1000000000000001</v>
      </c>
      <c r="B18" s="678" t="s">
        <v>223</v>
      </c>
      <c r="C18" s="239" t="s">
        <v>233</v>
      </c>
    </row>
    <row r="19" spans="1:3">
      <c r="A19" s="279">
        <v>1.1000000000000001</v>
      </c>
      <c r="B19" s="678" t="s">
        <v>234</v>
      </c>
      <c r="C19" s="239" t="s">
        <v>235</v>
      </c>
    </row>
    <row r="20" spans="1:3" ht="25.5">
      <c r="A20" s="279">
        <v>1.1000000000000001</v>
      </c>
      <c r="B20" s="678" t="s">
        <v>234</v>
      </c>
      <c r="C20" s="239" t="s">
        <v>236</v>
      </c>
    </row>
    <row r="21" spans="1:3">
      <c r="A21" s="279">
        <v>1.1000000000000001</v>
      </c>
      <c r="B21" s="678" t="s">
        <v>237</v>
      </c>
      <c r="C21" s="239" t="s">
        <v>238</v>
      </c>
    </row>
    <row r="22" spans="1:3">
      <c r="A22" s="279">
        <v>1.1000000000000001</v>
      </c>
      <c r="B22" s="279" t="s">
        <v>227</v>
      </c>
      <c r="C22" s="239" t="s">
        <v>239</v>
      </c>
    </row>
    <row r="23" spans="1:3" ht="25.5">
      <c r="A23" s="279">
        <v>1.1000000000000001</v>
      </c>
      <c r="B23" s="678" t="s">
        <v>227</v>
      </c>
      <c r="C23" s="239" t="s">
        <v>240</v>
      </c>
    </row>
    <row r="24" spans="1:3" ht="25.5">
      <c r="A24" s="279">
        <v>1.1000000000000001</v>
      </c>
      <c r="B24" s="678" t="s">
        <v>230</v>
      </c>
      <c r="C24" s="239" t="s">
        <v>241</v>
      </c>
    </row>
    <row r="25" spans="1:3" ht="26.25" thickBot="1">
      <c r="A25" s="745">
        <v>1.1000000000000001</v>
      </c>
      <c r="B25" s="746" t="s">
        <v>234</v>
      </c>
      <c r="C25" s="747" t="s">
        <v>242</v>
      </c>
    </row>
    <row r="26" spans="1:3">
      <c r="A26" s="742">
        <v>1.1000000000000001</v>
      </c>
      <c r="B26" s="743" t="s">
        <v>227</v>
      </c>
      <c r="C26" s="744" t="s">
        <v>243</v>
      </c>
    </row>
    <row r="27" spans="1:3">
      <c r="A27" s="742">
        <v>1.1000000000000001</v>
      </c>
      <c r="B27" s="678" t="s">
        <v>234</v>
      </c>
      <c r="C27" s="239" t="s">
        <v>244</v>
      </c>
    </row>
    <row r="28" spans="1:3">
      <c r="A28" s="279">
        <v>1.1000000000000001</v>
      </c>
      <c r="B28" s="678" t="s">
        <v>223</v>
      </c>
      <c r="C28" s="239" t="s">
        <v>245</v>
      </c>
    </row>
    <row r="29" spans="1:3">
      <c r="A29" s="959">
        <v>2</v>
      </c>
      <c r="B29" s="678" t="s">
        <v>234</v>
      </c>
      <c r="C29" s="239" t="s">
        <v>553</v>
      </c>
    </row>
    <row r="30" spans="1:3">
      <c r="A30" s="959">
        <v>2</v>
      </c>
      <c r="B30" s="678" t="s">
        <v>234</v>
      </c>
      <c r="C30" s="239" t="s">
        <v>554</v>
      </c>
    </row>
    <row r="31" spans="1:3" ht="76.5">
      <c r="A31" s="959">
        <v>2</v>
      </c>
      <c r="B31" s="678" t="s">
        <v>220</v>
      </c>
      <c r="C31" s="694" t="s">
        <v>555</v>
      </c>
    </row>
    <row r="32" spans="1:3">
      <c r="A32" s="279"/>
      <c r="B32" s="678"/>
      <c r="C32" s="239"/>
    </row>
    <row r="33" spans="1:3">
      <c r="A33" s="279"/>
      <c r="B33" s="678"/>
      <c r="C33" s="239"/>
    </row>
    <row r="34" spans="1:3">
      <c r="A34" s="280"/>
      <c r="B34" s="678"/>
      <c r="C34" s="239"/>
    </row>
    <row r="35" spans="1:3">
      <c r="A35" s="280"/>
      <c r="B35" s="696"/>
      <c r="C35" s="239"/>
    </row>
    <row r="36" spans="1:3">
      <c r="A36" s="280"/>
      <c r="B36" s="696"/>
      <c r="C36" s="239"/>
    </row>
    <row r="37" spans="1:3">
      <c r="A37" s="280"/>
      <c r="B37" s="696"/>
      <c r="C37" s="239"/>
    </row>
    <row r="38" spans="1:3">
      <c r="A38" s="280"/>
      <c r="B38" s="696"/>
      <c r="C38" s="239"/>
    </row>
    <row r="39" spans="1:3">
      <c r="A39" s="279"/>
      <c r="B39" s="696"/>
      <c r="C39" s="239"/>
    </row>
    <row r="40" spans="1:3">
      <c r="A40" s="280"/>
      <c r="B40" s="696"/>
      <c r="C40" s="239"/>
    </row>
    <row r="41" spans="1:3">
      <c r="A41" s="280"/>
      <c r="B41" s="696"/>
      <c r="C41" s="239"/>
    </row>
    <row r="42" spans="1:3">
      <c r="A42" s="280"/>
      <c r="B42" s="696"/>
      <c r="C42" s="239"/>
    </row>
    <row r="43" spans="1:3">
      <c r="A43" s="280"/>
      <c r="B43" s="678"/>
      <c r="C43" s="239"/>
    </row>
    <row r="44" spans="1:3">
      <c r="A44" s="280"/>
      <c r="B44" s="678"/>
      <c r="C44" s="239"/>
    </row>
    <row r="45" spans="1:3">
      <c r="A45" s="280"/>
      <c r="B45" s="678"/>
      <c r="C45" s="239"/>
    </row>
    <row r="46" spans="1:3">
      <c r="A46" s="280"/>
      <c r="B46" s="678"/>
      <c r="C46" s="239"/>
    </row>
    <row r="47" spans="1:3">
      <c r="A47" s="280"/>
      <c r="B47" s="678"/>
      <c r="C47" s="239"/>
    </row>
    <row r="48" spans="1:3">
      <c r="A48" s="280"/>
      <c r="B48" s="678"/>
      <c r="C48" s="239"/>
    </row>
    <row r="49" spans="1:3">
      <c r="A49" s="280"/>
      <c r="B49" s="678"/>
      <c r="C49" s="239"/>
    </row>
    <row r="50" spans="1:3">
      <c r="A50" s="280"/>
      <c r="B50" s="678"/>
      <c r="C50" s="239"/>
    </row>
    <row r="51" spans="1:3">
      <c r="A51" s="280"/>
      <c r="B51" s="678"/>
      <c r="C51" s="239"/>
    </row>
    <row r="52" spans="1:3">
      <c r="A52" s="280"/>
      <c r="B52" s="678"/>
      <c r="C52" s="239"/>
    </row>
    <row r="53" spans="1:3">
      <c r="A53" s="280"/>
      <c r="B53" s="700"/>
      <c r="C53" s="701"/>
    </row>
    <row r="54" spans="1:3">
      <c r="A54" s="280"/>
      <c r="B54" s="678"/>
      <c r="C54" s="239"/>
    </row>
    <row r="55" spans="1:3">
      <c r="A55" s="280"/>
      <c r="B55" s="678"/>
      <c r="C55" s="239"/>
    </row>
    <row r="56" spans="1:3">
      <c r="A56" s="280"/>
      <c r="B56" s="678"/>
      <c r="C56" s="239"/>
    </row>
    <row r="57" spans="1:3">
      <c r="A57" s="280"/>
      <c r="B57" s="678"/>
      <c r="C57" s="239"/>
    </row>
    <row r="58" spans="1:3">
      <c r="A58" s="280"/>
      <c r="B58" s="678"/>
      <c r="C58" s="694"/>
    </row>
    <row r="59" spans="1:3">
      <c r="A59" s="281"/>
      <c r="B59" s="679"/>
      <c r="C59" s="240"/>
    </row>
    <row r="60" spans="1:3">
      <c r="A60" s="281"/>
      <c r="B60" s="679"/>
      <c r="C60" s="240"/>
    </row>
    <row r="61" spans="1:3">
      <c r="A61" s="281"/>
      <c r="B61" s="679"/>
      <c r="C61" s="240"/>
    </row>
    <row r="62" spans="1:3">
      <c r="A62" s="281"/>
      <c r="B62" s="679"/>
      <c r="C62" s="240"/>
    </row>
    <row r="63" spans="1:3">
      <c r="A63" s="281"/>
      <c r="B63" s="679"/>
      <c r="C63" s="240"/>
    </row>
    <row r="64" spans="1:3">
      <c r="A64" s="281"/>
      <c r="B64" s="679"/>
      <c r="C64" s="240"/>
    </row>
    <row r="65" spans="1:3">
      <c r="A65" s="281"/>
      <c r="B65" s="679"/>
      <c r="C65" s="240"/>
    </row>
    <row r="66" spans="1:3">
      <c r="A66" s="281"/>
      <c r="B66" s="679"/>
      <c r="C66" s="240"/>
    </row>
  </sheetData>
  <sheetProtection algorithmName="SHA-512" hashValue="UlRFFsqa+91UVS+QSipUfXHtYWakE9asKs5nDGt6tegl7U7mmF/Mrn434jAMi14UAR8jj32CNFoVLQTZOgdNEQ==" saltValue="0462/RfVVzz9Fy6nSHGBdg==" spinCount="100000"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8" scale="74"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activeCell="E36" sqref="E36"/>
    </sheetView>
  </sheetViews>
  <sheetFormatPr defaultRowHeight="12.75"/>
  <cols>
    <col min="1" max="1" width="8.375" customWidth="1"/>
    <col min="2" max="2" width="63.375" style="155" customWidth="1"/>
    <col min="3" max="3" width="13.375" style="28" customWidth="1"/>
    <col min="4" max="11" width="9.125" customWidth="1"/>
    <col min="12" max="12" width="3.625" customWidth="1"/>
    <col min="13" max="14" width="13.75" customWidth="1"/>
    <col min="15" max="15" width="5.125" customWidth="1"/>
  </cols>
  <sheetData>
    <row r="1" spans="1:16" s="18" customFormat="1" ht="20.25">
      <c r="A1" s="856" t="s">
        <v>246</v>
      </c>
      <c r="B1" s="731"/>
      <c r="C1" s="732"/>
      <c r="D1" s="732"/>
      <c r="E1" s="732"/>
      <c r="F1" s="732"/>
      <c r="G1" s="211"/>
      <c r="H1" s="211"/>
      <c r="I1" s="212"/>
      <c r="J1" s="212"/>
      <c r="K1" s="213"/>
      <c r="L1" s="213"/>
      <c r="M1" s="213"/>
      <c r="N1" s="213"/>
      <c r="O1" s="872" t="s">
        <v>183</v>
      </c>
    </row>
    <row r="2" spans="1:16" s="18" customFormat="1" ht="20.25">
      <c r="A2" s="725" t="str">
        <f>'RFPR cover'!C5</f>
        <v>NGET (SO)</v>
      </c>
      <c r="B2" s="733"/>
      <c r="C2" s="720"/>
      <c r="D2" s="720"/>
      <c r="E2" s="720"/>
      <c r="F2" s="720"/>
      <c r="G2" s="16"/>
      <c r="H2" s="16"/>
      <c r="I2" s="15"/>
      <c r="J2" s="15"/>
      <c r="K2" s="15"/>
      <c r="L2" s="15"/>
      <c r="M2" s="15"/>
      <c r="N2" s="15"/>
      <c r="O2" s="93"/>
    </row>
    <row r="3" spans="1:16" s="18" customFormat="1" ht="23.25">
      <c r="A3" s="728">
        <f>'RFPR cover'!C7</f>
        <v>2020</v>
      </c>
      <c r="B3" s="734" t="str">
        <f>IF('RFPR cover'!C5=Data!B98,"Not required to be completed for System Operator",(IF('RFPR cover'!C5=Data!B96,"Not required to be completed for System Operator","")))</f>
        <v>Not required to be completed for System Operator</v>
      </c>
      <c r="C3" s="735"/>
      <c r="D3" s="735"/>
      <c r="E3" s="735"/>
      <c r="F3" s="735"/>
      <c r="G3" s="214"/>
      <c r="H3" s="214"/>
      <c r="I3" s="210"/>
      <c r="J3" s="210"/>
      <c r="K3" s="210"/>
      <c r="L3" s="210"/>
      <c r="M3" s="210"/>
      <c r="N3" s="210"/>
      <c r="O3" s="215"/>
    </row>
    <row r="4" spans="1:16" ht="12.75" customHeight="1"/>
    <row r="5" spans="1:16">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c r="L5" s="2"/>
      <c r="M5" s="2"/>
    </row>
    <row r="6" spans="1:16" ht="31.5" customHeight="1">
      <c r="C6" s="131"/>
      <c r="D6" s="90">
        <f>'RFPR cover'!$C$13</f>
        <v>2014</v>
      </c>
      <c r="E6" s="91">
        <f>D6+1</f>
        <v>2015</v>
      </c>
      <c r="F6" s="91">
        <f t="shared" ref="F6:K6" si="0">E6+1</f>
        <v>2016</v>
      </c>
      <c r="G6" s="91">
        <f t="shared" si="0"/>
        <v>2017</v>
      </c>
      <c r="H6" s="91">
        <f t="shared" si="0"/>
        <v>2018</v>
      </c>
      <c r="I6" s="91">
        <f t="shared" si="0"/>
        <v>2019</v>
      </c>
      <c r="J6" s="91">
        <f t="shared" si="0"/>
        <v>2020</v>
      </c>
      <c r="K6" s="154">
        <f t="shared" si="0"/>
        <v>2021</v>
      </c>
      <c r="L6" s="32"/>
      <c r="M6" s="74" t="str">
        <f>"Cumulative to "&amp;'RFPR cover'!$C$7</f>
        <v>Cumulative to 2020</v>
      </c>
      <c r="N6" s="153" t="s">
        <v>247</v>
      </c>
    </row>
    <row r="7" spans="1:16">
      <c r="C7" s="131"/>
      <c r="D7" s="131"/>
      <c r="E7" s="131"/>
      <c r="F7" s="131"/>
      <c r="G7" s="131"/>
      <c r="H7" s="131"/>
      <c r="I7" s="131"/>
      <c r="J7" s="131"/>
      <c r="K7" s="131"/>
      <c r="L7" s="131"/>
      <c r="M7" s="131"/>
      <c r="N7" s="131"/>
      <c r="O7" s="131"/>
    </row>
    <row r="8" spans="1:16">
      <c r="B8" s="432" t="s">
        <v>248</v>
      </c>
      <c r="C8" s="341"/>
      <c r="D8" s="341"/>
      <c r="E8" s="341"/>
      <c r="F8" s="341"/>
      <c r="G8" s="341"/>
      <c r="H8" s="341"/>
      <c r="I8" s="341"/>
      <c r="J8" s="341"/>
      <c r="K8" s="341"/>
      <c r="L8" s="433"/>
      <c r="M8" s="175"/>
      <c r="N8" s="175"/>
      <c r="O8" s="175"/>
    </row>
    <row r="9" spans="1:16">
      <c r="B9" s="156"/>
      <c r="D9" s="28"/>
      <c r="E9" s="28"/>
      <c r="F9" s="28"/>
      <c r="G9" s="28"/>
      <c r="H9" s="28"/>
      <c r="I9" s="28"/>
      <c r="J9" s="28"/>
      <c r="K9" s="28"/>
      <c r="L9" s="32"/>
    </row>
    <row r="10" spans="1:16">
      <c r="B10" s="207" t="s">
        <v>249</v>
      </c>
      <c r="C10" s="209" t="s">
        <v>250</v>
      </c>
      <c r="D10" s="411" t="e">
        <f t="shared" ref="D10:K19" si="1">D48/D$65</f>
        <v>#DIV/0!</v>
      </c>
      <c r="E10" s="413" t="e">
        <f t="shared" si="1"/>
        <v>#DIV/0!</v>
      </c>
      <c r="F10" s="413" t="e">
        <f t="shared" si="1"/>
        <v>#DIV/0!</v>
      </c>
      <c r="G10" s="413" t="e">
        <f t="shared" si="1"/>
        <v>#DIV/0!</v>
      </c>
      <c r="H10" s="413" t="e">
        <f t="shared" si="1"/>
        <v>#DIV/0!</v>
      </c>
      <c r="I10" s="413" t="e">
        <f t="shared" si="1"/>
        <v>#DIV/0!</v>
      </c>
      <c r="J10" s="413" t="e">
        <f t="shared" si="1"/>
        <v>#DIV/0!</v>
      </c>
      <c r="K10" s="412" t="e">
        <f t="shared" si="1"/>
        <v>#DIV/0!</v>
      </c>
      <c r="L10" s="132"/>
      <c r="M10" s="412" t="e">
        <f>AVERAGE(D48:INDEX(D48:K48,0,MATCH('RFPR cover'!$C$7,$D$6:$K$6,0)))/AVERAGE($D$65:INDEX($D$65:$K$65,0,MATCH('RFPR cover'!$C$7,$D$6:$K$6,0)))</f>
        <v>#DIV/0!</v>
      </c>
      <c r="N10" s="412" t="e">
        <f>AVERAGE(D48:K48)/AVERAGE($D$65:$K$65)</f>
        <v>#DIV/0!</v>
      </c>
    </row>
    <row r="11" spans="1:16">
      <c r="B11" s="207" t="str">
        <f t="shared" ref="B11:B18" si="2">B49</f>
        <v>Totex outperformance</v>
      </c>
      <c r="C11" s="209" t="s">
        <v>250</v>
      </c>
      <c r="D11" s="134" t="e">
        <f t="shared" si="1"/>
        <v>#DIV/0!</v>
      </c>
      <c r="E11" s="135" t="e">
        <f t="shared" si="1"/>
        <v>#DIV/0!</v>
      </c>
      <c r="F11" s="135" t="e">
        <f t="shared" si="1"/>
        <v>#DIV/0!</v>
      </c>
      <c r="G11" s="135" t="e">
        <f t="shared" si="1"/>
        <v>#DIV/0!</v>
      </c>
      <c r="H11" s="135" t="e">
        <f t="shared" si="1"/>
        <v>#DIV/0!</v>
      </c>
      <c r="I11" s="135" t="e">
        <f t="shared" si="1"/>
        <v>#DIV/0!</v>
      </c>
      <c r="J11" s="135" t="e">
        <f t="shared" si="1"/>
        <v>#DIV/0!</v>
      </c>
      <c r="K11" s="136" t="e">
        <f t="shared" si="1"/>
        <v>#DIV/0!</v>
      </c>
      <c r="L11" s="132"/>
      <c r="M11" s="136" t="e">
        <f>AVERAGE(D49:INDEX(D49:K49,0,MATCH('RFPR cover'!$C$7,$D$6:$K$6,0)))/AVERAGE($D$65:INDEX($D$65:$K$65,0,MATCH('RFPR cover'!$C$7,$D$6:$K$6,0)))</f>
        <v>#DIV/0!</v>
      </c>
      <c r="N11" s="136" t="e">
        <f t="shared" ref="N11:N19" si="3">AVERAGE(D49:K49)/AVERAGE($D$65:$K$65)</f>
        <v>#DIV/0!</v>
      </c>
      <c r="P11" s="132"/>
    </row>
    <row r="12" spans="1:16">
      <c r="B12" s="207" t="str">
        <f t="shared" si="2"/>
        <v>IQI Reward</v>
      </c>
      <c r="C12" s="209" t="s">
        <v>250</v>
      </c>
      <c r="D12" s="134" t="e">
        <f t="shared" si="1"/>
        <v>#DIV/0!</v>
      </c>
      <c r="E12" s="135" t="e">
        <f t="shared" si="1"/>
        <v>#DIV/0!</v>
      </c>
      <c r="F12" s="135" t="e">
        <f t="shared" si="1"/>
        <v>#DIV/0!</v>
      </c>
      <c r="G12" s="135" t="e">
        <f t="shared" si="1"/>
        <v>#DIV/0!</v>
      </c>
      <c r="H12" s="135" t="e">
        <f t="shared" si="1"/>
        <v>#DIV/0!</v>
      </c>
      <c r="I12" s="135" t="e">
        <f t="shared" si="1"/>
        <v>#DIV/0!</v>
      </c>
      <c r="J12" s="135" t="e">
        <f t="shared" si="1"/>
        <v>#DIV/0!</v>
      </c>
      <c r="K12" s="136" t="e">
        <f t="shared" si="1"/>
        <v>#DIV/0!</v>
      </c>
      <c r="L12" s="132"/>
      <c r="M12" s="136" t="e">
        <f>AVERAGE(D50:INDEX(D50:K50,0,MATCH('RFPR cover'!$C$7,$D$6:$K$6,0)))/AVERAGE($D$65:INDEX($D$65:$K$65,0,MATCH('RFPR cover'!$C$7,$D$6:$K$6,0)))</f>
        <v>#DIV/0!</v>
      </c>
      <c r="N12" s="136" t="e">
        <f t="shared" si="3"/>
        <v>#DIV/0!</v>
      </c>
    </row>
    <row r="13" spans="1:16">
      <c r="B13" s="207" t="str">
        <f t="shared" si="2"/>
        <v>Electricity Market Reform incentive revenue</v>
      </c>
      <c r="C13" s="209" t="s">
        <v>250</v>
      </c>
      <c r="D13" s="134" t="e">
        <f t="shared" si="1"/>
        <v>#DIV/0!</v>
      </c>
      <c r="E13" s="135" t="e">
        <f t="shared" si="1"/>
        <v>#DIV/0!</v>
      </c>
      <c r="F13" s="135" t="e">
        <f t="shared" si="1"/>
        <v>#DIV/0!</v>
      </c>
      <c r="G13" s="135" t="e">
        <f t="shared" si="1"/>
        <v>#DIV/0!</v>
      </c>
      <c r="H13" s="135" t="e">
        <f t="shared" si="1"/>
        <v>#DIV/0!</v>
      </c>
      <c r="I13" s="135" t="e">
        <f t="shared" si="1"/>
        <v>#DIV/0!</v>
      </c>
      <c r="J13" s="135" t="e">
        <f t="shared" si="1"/>
        <v>#DIV/0!</v>
      </c>
      <c r="K13" s="136" t="e">
        <f t="shared" si="1"/>
        <v>#DIV/0!</v>
      </c>
      <c r="L13" s="132"/>
      <c r="M13" s="136" t="e">
        <f>AVERAGE(D51:INDEX(D51:K51,0,MATCH('RFPR cover'!$C$7,$D$6:$K$6,0)))/AVERAGE($D$65:INDEX($D$65:$K$65,0,MATCH('RFPR cover'!$C$7,$D$6:$K$6,0)))</f>
        <v>#DIV/0!</v>
      </c>
      <c r="N13" s="136" t="e">
        <f t="shared" si="3"/>
        <v>#DIV/0!</v>
      </c>
    </row>
    <row r="14" spans="1:16">
      <c r="B14" s="207" t="str">
        <f t="shared" si="2"/>
        <v>Balancing Services Incentive Scheme</v>
      </c>
      <c r="C14" s="209" t="s">
        <v>250</v>
      </c>
      <c r="D14" s="134" t="e">
        <f t="shared" si="1"/>
        <v>#DIV/0!</v>
      </c>
      <c r="E14" s="135" t="e">
        <f t="shared" si="1"/>
        <v>#DIV/0!</v>
      </c>
      <c r="F14" s="135" t="e">
        <f t="shared" si="1"/>
        <v>#DIV/0!</v>
      </c>
      <c r="G14" s="135" t="e">
        <f t="shared" si="1"/>
        <v>#DIV/0!</v>
      </c>
      <c r="H14" s="135" t="e">
        <f t="shared" si="1"/>
        <v>#DIV/0!</v>
      </c>
      <c r="I14" s="135" t="e">
        <f t="shared" si="1"/>
        <v>#DIV/0!</v>
      </c>
      <c r="J14" s="135" t="e">
        <f t="shared" si="1"/>
        <v>#DIV/0!</v>
      </c>
      <c r="K14" s="136" t="e">
        <f t="shared" si="1"/>
        <v>#DIV/0!</v>
      </c>
      <c r="L14" s="132"/>
      <c r="M14" s="136" t="e">
        <f>AVERAGE(D52:INDEX(D52:K52,0,MATCH('RFPR cover'!$C$7,$D$6:$K$6,0)))/AVERAGE($D$65:INDEX($D$65:$K$65,0,MATCH('RFPR cover'!$C$7,$D$6:$K$6,0)))</f>
        <v>#DIV/0!</v>
      </c>
      <c r="N14" s="136" t="e">
        <f t="shared" si="3"/>
        <v>#DIV/0!</v>
      </c>
    </row>
    <row r="15" spans="1:16">
      <c r="B15" s="207" t="str">
        <f t="shared" si="2"/>
        <v>Renewable wind forecasting incentive</v>
      </c>
      <c r="C15" s="209" t="s">
        <v>250</v>
      </c>
      <c r="D15" s="134" t="e">
        <f t="shared" si="1"/>
        <v>#DIV/0!</v>
      </c>
      <c r="E15" s="135" t="e">
        <f t="shared" si="1"/>
        <v>#DIV/0!</v>
      </c>
      <c r="F15" s="135" t="e">
        <f t="shared" si="1"/>
        <v>#DIV/0!</v>
      </c>
      <c r="G15" s="135" t="e">
        <f t="shared" si="1"/>
        <v>#DIV/0!</v>
      </c>
      <c r="H15" s="135" t="e">
        <f t="shared" si="1"/>
        <v>#DIV/0!</v>
      </c>
      <c r="I15" s="135" t="e">
        <f t="shared" si="1"/>
        <v>#DIV/0!</v>
      </c>
      <c r="J15" s="135" t="e">
        <f t="shared" si="1"/>
        <v>#DIV/0!</v>
      </c>
      <c r="K15" s="136" t="e">
        <f t="shared" si="1"/>
        <v>#DIV/0!</v>
      </c>
      <c r="L15" s="132"/>
      <c r="M15" s="136" t="e">
        <f>AVERAGE(D53:INDEX(D53:K53,0,MATCH('RFPR cover'!$C$7,$D$6:$K$6,0)))/AVERAGE($D$65:INDEX($D$65:$K$65,0,MATCH('RFPR cover'!$C$7,$D$6:$K$6,0)))</f>
        <v>#DIV/0!</v>
      </c>
      <c r="N15" s="136" t="e">
        <f t="shared" si="3"/>
        <v>#DIV/0!</v>
      </c>
    </row>
    <row r="16" spans="1:16">
      <c r="B16" s="207" t="str">
        <f t="shared" si="2"/>
        <v>New ESO Incentive (FY19 onwards)</v>
      </c>
      <c r="C16" s="209" t="s">
        <v>250</v>
      </c>
      <c r="D16" s="134" t="e">
        <f t="shared" si="1"/>
        <v>#DIV/0!</v>
      </c>
      <c r="E16" s="135" t="e">
        <f t="shared" si="1"/>
        <v>#DIV/0!</v>
      </c>
      <c r="F16" s="135" t="e">
        <f t="shared" si="1"/>
        <v>#DIV/0!</v>
      </c>
      <c r="G16" s="135" t="e">
        <f t="shared" si="1"/>
        <v>#DIV/0!</v>
      </c>
      <c r="H16" s="135" t="e">
        <f t="shared" si="1"/>
        <v>#DIV/0!</v>
      </c>
      <c r="I16" s="135" t="e">
        <f t="shared" si="1"/>
        <v>#DIV/0!</v>
      </c>
      <c r="J16" s="135" t="e">
        <f t="shared" si="1"/>
        <v>#DIV/0!</v>
      </c>
      <c r="K16" s="136" t="e">
        <f t="shared" si="1"/>
        <v>#DIV/0!</v>
      </c>
      <c r="L16" s="132"/>
      <c r="M16" s="136" t="e">
        <f>AVERAGE(D54:INDEX(D54:K54,0,MATCH('RFPR cover'!$C$7,$D$6:$K$6,0)))/AVERAGE($D$65:INDEX($D$65:$K$65,0,MATCH('RFPR cover'!$C$7,$D$6:$K$6,0)))</f>
        <v>#DIV/0!</v>
      </c>
      <c r="N16" s="136" t="e">
        <f t="shared" si="3"/>
        <v>#DIV/0!</v>
      </c>
    </row>
    <row r="17" spans="2:16">
      <c r="B17" s="207" t="str">
        <f t="shared" si="2"/>
        <v/>
      </c>
      <c r="C17" s="209" t="s">
        <v>250</v>
      </c>
      <c r="D17" s="134" t="e">
        <f t="shared" si="1"/>
        <v>#DIV/0!</v>
      </c>
      <c r="E17" s="135" t="e">
        <f t="shared" si="1"/>
        <v>#DIV/0!</v>
      </c>
      <c r="F17" s="135" t="e">
        <f t="shared" si="1"/>
        <v>#DIV/0!</v>
      </c>
      <c r="G17" s="135" t="e">
        <f t="shared" si="1"/>
        <v>#DIV/0!</v>
      </c>
      <c r="H17" s="135" t="e">
        <f t="shared" si="1"/>
        <v>#DIV/0!</v>
      </c>
      <c r="I17" s="135" t="e">
        <f t="shared" si="1"/>
        <v>#DIV/0!</v>
      </c>
      <c r="J17" s="135" t="e">
        <f t="shared" si="1"/>
        <v>#DIV/0!</v>
      </c>
      <c r="K17" s="136" t="e">
        <f t="shared" si="1"/>
        <v>#DIV/0!</v>
      </c>
      <c r="L17" s="132"/>
      <c r="M17" s="136" t="e">
        <f>AVERAGE(D55:INDEX(D55:K55,0,MATCH('RFPR cover'!$C$7,$D$6:$K$6,0)))/AVERAGE($D$65:INDEX($D$65:$K$65,0,MATCH('RFPR cover'!$C$7,$D$6:$K$6,0)))</f>
        <v>#DIV/0!</v>
      </c>
      <c r="N17" s="136" t="e">
        <f t="shared" si="3"/>
        <v>#DIV/0!</v>
      </c>
    </row>
    <row r="18" spans="2:16">
      <c r="B18" s="207" t="str">
        <f t="shared" si="2"/>
        <v xml:space="preserve">Network Innovation </v>
      </c>
      <c r="C18" s="209" t="s">
        <v>250</v>
      </c>
      <c r="D18" s="134" t="e">
        <f t="shared" si="1"/>
        <v>#DIV/0!</v>
      </c>
      <c r="E18" s="135" t="e">
        <f t="shared" si="1"/>
        <v>#DIV/0!</v>
      </c>
      <c r="F18" s="135" t="e">
        <f t="shared" si="1"/>
        <v>#DIV/0!</v>
      </c>
      <c r="G18" s="135" t="e">
        <f t="shared" si="1"/>
        <v>#DIV/0!</v>
      </c>
      <c r="H18" s="135" t="e">
        <f t="shared" si="1"/>
        <v>#DIV/0!</v>
      </c>
      <c r="I18" s="135" t="e">
        <f t="shared" si="1"/>
        <v>#DIV/0!</v>
      </c>
      <c r="J18" s="135" t="e">
        <f t="shared" si="1"/>
        <v>#DIV/0!</v>
      </c>
      <c r="K18" s="136" t="e">
        <f t="shared" si="1"/>
        <v>#DIV/0!</v>
      </c>
      <c r="L18" s="132"/>
      <c r="M18" s="136" t="e">
        <f>AVERAGE(D56:INDEX(D56:K56,0,MATCH('RFPR cover'!$C$7,$D$6:$K$6,0)))/AVERAGE($D$65:INDEX($D$65:$K$65,0,MATCH('RFPR cover'!$C$7,$D$6:$K$6,0)))</f>
        <v>#DIV/0!</v>
      </c>
      <c r="N18" s="136" t="e">
        <f t="shared" si="3"/>
        <v>#DIV/0!</v>
      </c>
    </row>
    <row r="19" spans="2:16">
      <c r="B19" s="207" t="str">
        <f>B57</f>
        <v>Penalties and fines</v>
      </c>
      <c r="C19" s="209" t="s">
        <v>250</v>
      </c>
      <c r="D19" s="144" t="e">
        <f t="shared" si="1"/>
        <v>#DIV/0!</v>
      </c>
      <c r="E19" s="145" t="e">
        <f t="shared" si="1"/>
        <v>#DIV/0!</v>
      </c>
      <c r="F19" s="145" t="e">
        <f t="shared" si="1"/>
        <v>#DIV/0!</v>
      </c>
      <c r="G19" s="145" t="e">
        <f t="shared" si="1"/>
        <v>#DIV/0!</v>
      </c>
      <c r="H19" s="145" t="e">
        <f t="shared" si="1"/>
        <v>#DIV/0!</v>
      </c>
      <c r="I19" s="145" t="e">
        <f t="shared" si="1"/>
        <v>#DIV/0!</v>
      </c>
      <c r="J19" s="145" t="e">
        <f t="shared" si="1"/>
        <v>#DIV/0!</v>
      </c>
      <c r="K19" s="146" t="e">
        <f t="shared" si="1"/>
        <v>#DIV/0!</v>
      </c>
      <c r="L19" s="132"/>
      <c r="M19" s="146" t="e">
        <f>AVERAGE(D57:INDEX(D57:K57,0,MATCH('RFPR cover'!$C$7,$D$6:$K$6,0)))/AVERAGE($D$65:INDEX($D$65:$K$65,0,MATCH('RFPR cover'!$C$7,$D$6:$K$6,0)))</f>
        <v>#DIV/0!</v>
      </c>
      <c r="N19" s="146" t="e">
        <f t="shared" si="3"/>
        <v>#DIV/0!</v>
      </c>
    </row>
    <row r="20" spans="2:16">
      <c r="B20" s="208" t="str">
        <f>B58</f>
        <v>RoRE - Operational performance</v>
      </c>
      <c r="C20" s="209" t="s">
        <v>250</v>
      </c>
      <c r="D20" s="147" t="e">
        <f t="shared" ref="D20:K20" si="4">SUM(D10:D19)</f>
        <v>#DIV/0!</v>
      </c>
      <c r="E20" s="148" t="e">
        <f t="shared" si="4"/>
        <v>#DIV/0!</v>
      </c>
      <c r="F20" s="148" t="e">
        <f t="shared" si="4"/>
        <v>#DIV/0!</v>
      </c>
      <c r="G20" s="148" t="e">
        <f t="shared" si="4"/>
        <v>#DIV/0!</v>
      </c>
      <c r="H20" s="148" t="e">
        <f t="shared" si="4"/>
        <v>#DIV/0!</v>
      </c>
      <c r="I20" s="148" t="e">
        <f t="shared" si="4"/>
        <v>#DIV/0!</v>
      </c>
      <c r="J20" s="148" t="e">
        <f t="shared" si="4"/>
        <v>#DIV/0!</v>
      </c>
      <c r="K20" s="149" t="e">
        <f t="shared" si="4"/>
        <v>#DIV/0!</v>
      </c>
      <c r="L20" s="133"/>
      <c r="M20" s="149" t="e">
        <f>SUM(M10:M19)</f>
        <v>#DIV/0!</v>
      </c>
      <c r="N20" s="149" t="e">
        <f>SUM(N10:N19)</f>
        <v>#DIV/0!</v>
      </c>
    </row>
    <row r="21" spans="2:16">
      <c r="B21" s="207" t="str">
        <f>B59</f>
        <v>Debt performance - at notional gearing</v>
      </c>
      <c r="C21" s="209" t="s">
        <v>250</v>
      </c>
      <c r="D21" s="134" t="e">
        <f>(D59)/D$65</f>
        <v>#DIV/0!</v>
      </c>
      <c r="E21" s="135" t="e">
        <f t="shared" ref="E21:K21" si="5">(E59)/E$65</f>
        <v>#DIV/0!</v>
      </c>
      <c r="F21" s="135" t="e">
        <f t="shared" si="5"/>
        <v>#DIV/0!</v>
      </c>
      <c r="G21" s="135" t="e">
        <f t="shared" si="5"/>
        <v>#DIV/0!</v>
      </c>
      <c r="H21" s="135" t="e">
        <f t="shared" si="5"/>
        <v>#DIV/0!</v>
      </c>
      <c r="I21" s="135" t="e">
        <f t="shared" si="5"/>
        <v>#DIV/0!</v>
      </c>
      <c r="J21" s="135" t="e">
        <f t="shared" si="5"/>
        <v>#DIV/0!</v>
      </c>
      <c r="K21" s="136" t="e">
        <f t="shared" si="5"/>
        <v>#DIV/0!</v>
      </c>
      <c r="L21" s="132"/>
      <c r="M21" s="136" t="e">
        <f>AVERAGE(D59:INDEX(D59:K59,0,MATCH('RFPR cover'!$C$7,$D$6:$K$6,0)))/AVERAGE($D$65:INDEX($D$65:$K$65,0,MATCH('RFPR cover'!$C$7,$D$6:$K$6,0)))</f>
        <v>#DIV/0!</v>
      </c>
      <c r="N21" s="136" t="e">
        <f>AVERAGE(D59:K59)/AVERAGE($D$65:$K$65)</f>
        <v>#DIV/0!</v>
      </c>
    </row>
    <row r="22" spans="2:16">
      <c r="B22" s="207" t="str">
        <f>B61</f>
        <v>Tax performance - at notional gearing</v>
      </c>
      <c r="C22" s="209" t="s">
        <v>250</v>
      </c>
      <c r="D22" s="134" t="e">
        <f>(D61)/D$65</f>
        <v>#DIV/0!</v>
      </c>
      <c r="E22" s="135" t="e">
        <f t="shared" ref="E22:K22" si="6">(E61)/E$65</f>
        <v>#DIV/0!</v>
      </c>
      <c r="F22" s="135" t="e">
        <f t="shared" si="6"/>
        <v>#DIV/0!</v>
      </c>
      <c r="G22" s="135" t="e">
        <f t="shared" si="6"/>
        <v>#DIV/0!</v>
      </c>
      <c r="H22" s="135" t="e">
        <f t="shared" si="6"/>
        <v>#DIV/0!</v>
      </c>
      <c r="I22" s="135" t="e">
        <f t="shared" si="6"/>
        <v>#DIV/0!</v>
      </c>
      <c r="J22" s="135" t="e">
        <f t="shared" si="6"/>
        <v>#DIV/0!</v>
      </c>
      <c r="K22" s="136" t="e">
        <f t="shared" si="6"/>
        <v>#DIV/0!</v>
      </c>
      <c r="L22" s="132"/>
      <c r="M22" s="136" t="e">
        <f>AVERAGE(D61:INDEX(D61:K61,0,MATCH('RFPR cover'!$C$7,$D$6:$K$6,0)))/AVERAGE($D$65:INDEX($D$65:$K$65,0,MATCH('RFPR cover'!$C$7,$D$6:$K$6,0)))</f>
        <v>#DIV/0!</v>
      </c>
      <c r="N22" s="136" t="e">
        <f>AVERAGE(D61:K61)/AVERAGE($D$65:$K$65)</f>
        <v>#DIV/0!</v>
      </c>
    </row>
    <row r="23" spans="2:16">
      <c r="B23" s="208" t="str">
        <f>B63</f>
        <v>RoRE - including financing and tax</v>
      </c>
      <c r="C23" s="209" t="s">
        <v>250</v>
      </c>
      <c r="D23" s="150" t="e">
        <f>SUM(D20:D22)</f>
        <v>#DIV/0!</v>
      </c>
      <c r="E23" s="151" t="e">
        <f t="shared" ref="E23:K23" si="7">SUM(E20:E22)</f>
        <v>#DIV/0!</v>
      </c>
      <c r="F23" s="151" t="e">
        <f t="shared" si="7"/>
        <v>#DIV/0!</v>
      </c>
      <c r="G23" s="151" t="e">
        <f t="shared" si="7"/>
        <v>#DIV/0!</v>
      </c>
      <c r="H23" s="151" t="e">
        <f t="shared" si="7"/>
        <v>#DIV/0!</v>
      </c>
      <c r="I23" s="151" t="e">
        <f t="shared" si="7"/>
        <v>#DIV/0!</v>
      </c>
      <c r="J23" s="151" t="e">
        <f t="shared" si="7"/>
        <v>#DIV/0!</v>
      </c>
      <c r="K23" s="152" t="e">
        <f t="shared" si="7"/>
        <v>#DIV/0!</v>
      </c>
      <c r="L23" s="133"/>
      <c r="M23" s="152" t="e">
        <f>SUM(M20:M22)</f>
        <v>#DIV/0!</v>
      </c>
      <c r="N23" s="152" t="e">
        <f>SUM(N20:N22)</f>
        <v>#DIV/0!</v>
      </c>
    </row>
    <row r="26" spans="2:16" s="18" customFormat="1">
      <c r="B26" s="383"/>
      <c r="C26" s="298"/>
    </row>
    <row r="27" spans="2:16">
      <c r="B27" s="432" t="s">
        <v>251</v>
      </c>
      <c r="C27" s="341"/>
      <c r="D27" s="175"/>
      <c r="E27" s="175"/>
      <c r="F27" s="175"/>
      <c r="G27" s="175"/>
      <c r="H27" s="175"/>
      <c r="I27" s="175"/>
      <c r="J27" s="175"/>
      <c r="K27" s="175"/>
      <c r="L27" s="433"/>
      <c r="M27" s="175"/>
      <c r="N27" s="175"/>
      <c r="O27" s="175"/>
    </row>
    <row r="28" spans="2:16">
      <c r="B28" s="156"/>
      <c r="L28" s="32"/>
    </row>
    <row r="29" spans="2:16">
      <c r="B29" s="207" t="s">
        <v>249</v>
      </c>
      <c r="C29" s="209" t="s">
        <v>250</v>
      </c>
      <c r="D29" s="134" t="e">
        <f t="shared" ref="D29:K38" si="8">D48/D$66</f>
        <v>#DIV/0!</v>
      </c>
      <c r="E29" s="135" t="e">
        <f t="shared" si="8"/>
        <v>#DIV/0!</v>
      </c>
      <c r="F29" s="135" t="e">
        <f t="shared" si="8"/>
        <v>#DIV/0!</v>
      </c>
      <c r="G29" s="135" t="e">
        <f t="shared" si="8"/>
        <v>#DIV/0!</v>
      </c>
      <c r="H29" s="135" t="e">
        <f t="shared" si="8"/>
        <v>#DIV/0!</v>
      </c>
      <c r="I29" s="135" t="e">
        <f t="shared" si="8"/>
        <v>#DIV/0!</v>
      </c>
      <c r="J29" s="135" t="e">
        <f t="shared" si="8"/>
        <v>#DIV/0!</v>
      </c>
      <c r="K29" s="136" t="e">
        <f t="shared" si="8"/>
        <v>#DIV/0!</v>
      </c>
      <c r="L29" s="132"/>
      <c r="M29" s="412" t="e">
        <f>AVERAGE(D48:INDEX(D48:K48,0,MATCH('RFPR cover'!$C$7,$D$6:$K$6,0)))/AVERAGE($D$66:INDEX($D$66:$K$66,0,MATCH('RFPR cover'!$C$7,$D$6:$K$6,0)))</f>
        <v>#DIV/0!</v>
      </c>
      <c r="N29" s="412" t="e">
        <f>AVERAGE(D48:K48)/AVERAGE($D$66:$K$66)</f>
        <v>#DIV/0!</v>
      </c>
      <c r="P29" s="270"/>
    </row>
    <row r="30" spans="2:16">
      <c r="B30" s="207" t="str">
        <f t="shared" ref="B30:B37" si="9">B49</f>
        <v>Totex outperformance</v>
      </c>
      <c r="C30" s="209" t="s">
        <v>250</v>
      </c>
      <c r="D30" s="134" t="e">
        <f t="shared" si="8"/>
        <v>#DIV/0!</v>
      </c>
      <c r="E30" s="135" t="e">
        <f t="shared" si="8"/>
        <v>#DIV/0!</v>
      </c>
      <c r="F30" s="135" t="e">
        <f t="shared" si="8"/>
        <v>#DIV/0!</v>
      </c>
      <c r="G30" s="135" t="e">
        <f t="shared" si="8"/>
        <v>#DIV/0!</v>
      </c>
      <c r="H30" s="135" t="e">
        <f t="shared" si="8"/>
        <v>#DIV/0!</v>
      </c>
      <c r="I30" s="135" t="e">
        <f t="shared" si="8"/>
        <v>#DIV/0!</v>
      </c>
      <c r="J30" s="135" t="e">
        <f t="shared" si="8"/>
        <v>#DIV/0!</v>
      </c>
      <c r="K30" s="136" t="e">
        <f t="shared" si="8"/>
        <v>#DIV/0!</v>
      </c>
      <c r="L30" s="132"/>
      <c r="M30" s="136" t="e">
        <f>AVERAGE(D49:INDEX(D49:K49,0,MATCH('RFPR cover'!$C$7,$D$6:$K$6,0)))/AVERAGE($D$66:INDEX($D$66:$K$66,0,MATCH('RFPR cover'!$C$7,$D$6:$K$6,0)))</f>
        <v>#DIV/0!</v>
      </c>
      <c r="N30" s="136" t="e">
        <f t="shared" ref="N30:N38" si="10">AVERAGE(D49:K49)/AVERAGE($D$66:$K$66)</f>
        <v>#DIV/0!</v>
      </c>
    </row>
    <row r="31" spans="2:16">
      <c r="B31" s="207" t="str">
        <f t="shared" si="9"/>
        <v>IQI Reward</v>
      </c>
      <c r="C31" s="209" t="s">
        <v>250</v>
      </c>
      <c r="D31" s="134" t="e">
        <f t="shared" si="8"/>
        <v>#DIV/0!</v>
      </c>
      <c r="E31" s="135" t="e">
        <f t="shared" si="8"/>
        <v>#DIV/0!</v>
      </c>
      <c r="F31" s="135" t="e">
        <f t="shared" si="8"/>
        <v>#DIV/0!</v>
      </c>
      <c r="G31" s="135" t="e">
        <f t="shared" si="8"/>
        <v>#DIV/0!</v>
      </c>
      <c r="H31" s="135" t="e">
        <f t="shared" si="8"/>
        <v>#DIV/0!</v>
      </c>
      <c r="I31" s="135" t="e">
        <f t="shared" si="8"/>
        <v>#DIV/0!</v>
      </c>
      <c r="J31" s="135" t="e">
        <f t="shared" si="8"/>
        <v>#DIV/0!</v>
      </c>
      <c r="K31" s="136" t="e">
        <f t="shared" si="8"/>
        <v>#DIV/0!</v>
      </c>
      <c r="L31" s="132"/>
      <c r="M31" s="136" t="e">
        <f>AVERAGE(D50:INDEX(D50:K50,0,MATCH('RFPR cover'!$C$7,$D$6:$K$6,0)))/AVERAGE($D$66:INDEX($D$66:$K$66,0,MATCH('RFPR cover'!$C$7,$D$6:$K$6,0)))</f>
        <v>#DIV/0!</v>
      </c>
      <c r="N31" s="136" t="e">
        <f t="shared" si="10"/>
        <v>#DIV/0!</v>
      </c>
    </row>
    <row r="32" spans="2:16">
      <c r="B32" s="207" t="str">
        <f t="shared" si="9"/>
        <v>Electricity Market Reform incentive revenue</v>
      </c>
      <c r="C32" s="209" t="s">
        <v>250</v>
      </c>
      <c r="D32" s="134" t="e">
        <f t="shared" si="8"/>
        <v>#DIV/0!</v>
      </c>
      <c r="E32" s="135" t="e">
        <f t="shared" si="8"/>
        <v>#DIV/0!</v>
      </c>
      <c r="F32" s="135" t="e">
        <f t="shared" si="8"/>
        <v>#DIV/0!</v>
      </c>
      <c r="G32" s="135" t="e">
        <f t="shared" si="8"/>
        <v>#DIV/0!</v>
      </c>
      <c r="H32" s="135" t="e">
        <f t="shared" si="8"/>
        <v>#DIV/0!</v>
      </c>
      <c r="I32" s="135" t="e">
        <f t="shared" si="8"/>
        <v>#DIV/0!</v>
      </c>
      <c r="J32" s="135" t="e">
        <f t="shared" si="8"/>
        <v>#DIV/0!</v>
      </c>
      <c r="K32" s="136" t="e">
        <f t="shared" si="8"/>
        <v>#DIV/0!</v>
      </c>
      <c r="L32" s="132"/>
      <c r="M32" s="136" t="e">
        <f>AVERAGE(D51:INDEX(D51:K51,0,MATCH('RFPR cover'!$C$7,$D$6:$K$6,0)))/AVERAGE($D$66:INDEX($D$66:$K$66,0,MATCH('RFPR cover'!$C$7,$D$6:$K$6,0)))</f>
        <v>#DIV/0!</v>
      </c>
      <c r="N32" s="136" t="e">
        <f t="shared" si="10"/>
        <v>#DIV/0!</v>
      </c>
    </row>
    <row r="33" spans="2:15">
      <c r="B33" s="207" t="str">
        <f t="shared" si="9"/>
        <v>Balancing Services Incentive Scheme</v>
      </c>
      <c r="C33" s="209" t="s">
        <v>250</v>
      </c>
      <c r="D33" s="134" t="e">
        <f t="shared" si="8"/>
        <v>#DIV/0!</v>
      </c>
      <c r="E33" s="135" t="e">
        <f t="shared" si="8"/>
        <v>#DIV/0!</v>
      </c>
      <c r="F33" s="135" t="e">
        <f t="shared" si="8"/>
        <v>#DIV/0!</v>
      </c>
      <c r="G33" s="135" t="e">
        <f t="shared" si="8"/>
        <v>#DIV/0!</v>
      </c>
      <c r="H33" s="135" t="e">
        <f t="shared" si="8"/>
        <v>#DIV/0!</v>
      </c>
      <c r="I33" s="135" t="e">
        <f t="shared" si="8"/>
        <v>#DIV/0!</v>
      </c>
      <c r="J33" s="135" t="e">
        <f t="shared" si="8"/>
        <v>#DIV/0!</v>
      </c>
      <c r="K33" s="136" t="e">
        <f t="shared" si="8"/>
        <v>#DIV/0!</v>
      </c>
      <c r="L33" s="132"/>
      <c r="M33" s="136" t="e">
        <f>AVERAGE(D52:INDEX(D52:K52,0,MATCH('RFPR cover'!$C$7,$D$6:$K$6,0)))/AVERAGE($D$66:INDEX($D$66:$K$66,0,MATCH('RFPR cover'!$C$7,$D$6:$K$6,0)))</f>
        <v>#DIV/0!</v>
      </c>
      <c r="N33" s="136" t="e">
        <f t="shared" si="10"/>
        <v>#DIV/0!</v>
      </c>
    </row>
    <row r="34" spans="2:15">
      <c r="B34" s="207" t="str">
        <f t="shared" si="9"/>
        <v>Renewable wind forecasting incentive</v>
      </c>
      <c r="C34" s="209" t="s">
        <v>250</v>
      </c>
      <c r="D34" s="134" t="e">
        <f t="shared" si="8"/>
        <v>#DIV/0!</v>
      </c>
      <c r="E34" s="135" t="e">
        <f t="shared" si="8"/>
        <v>#DIV/0!</v>
      </c>
      <c r="F34" s="135" t="e">
        <f t="shared" si="8"/>
        <v>#DIV/0!</v>
      </c>
      <c r="G34" s="135" t="e">
        <f t="shared" si="8"/>
        <v>#DIV/0!</v>
      </c>
      <c r="H34" s="135" t="e">
        <f t="shared" si="8"/>
        <v>#DIV/0!</v>
      </c>
      <c r="I34" s="135" t="e">
        <f t="shared" si="8"/>
        <v>#DIV/0!</v>
      </c>
      <c r="J34" s="135" t="e">
        <f t="shared" si="8"/>
        <v>#DIV/0!</v>
      </c>
      <c r="K34" s="136" t="e">
        <f t="shared" si="8"/>
        <v>#DIV/0!</v>
      </c>
      <c r="L34" s="132"/>
      <c r="M34" s="136" t="e">
        <f>AVERAGE(D53:INDEX(D53:K53,0,MATCH('RFPR cover'!$C$7,$D$6:$K$6,0)))/AVERAGE($D$66:INDEX($D$66:$K$66,0,MATCH('RFPR cover'!$C$7,$D$6:$K$6,0)))</f>
        <v>#DIV/0!</v>
      </c>
      <c r="N34" s="136" t="e">
        <f t="shared" si="10"/>
        <v>#DIV/0!</v>
      </c>
    </row>
    <row r="35" spans="2:15">
      <c r="B35" s="207" t="str">
        <f t="shared" si="9"/>
        <v>New ESO Incentive (FY19 onwards)</v>
      </c>
      <c r="C35" s="209" t="s">
        <v>250</v>
      </c>
      <c r="D35" s="134" t="e">
        <f t="shared" si="8"/>
        <v>#DIV/0!</v>
      </c>
      <c r="E35" s="135" t="e">
        <f t="shared" si="8"/>
        <v>#DIV/0!</v>
      </c>
      <c r="F35" s="135" t="e">
        <f t="shared" si="8"/>
        <v>#DIV/0!</v>
      </c>
      <c r="G35" s="135" t="e">
        <f t="shared" si="8"/>
        <v>#DIV/0!</v>
      </c>
      <c r="H35" s="135" t="e">
        <f t="shared" si="8"/>
        <v>#DIV/0!</v>
      </c>
      <c r="I35" s="135" t="e">
        <f t="shared" si="8"/>
        <v>#DIV/0!</v>
      </c>
      <c r="J35" s="135" t="e">
        <f t="shared" si="8"/>
        <v>#DIV/0!</v>
      </c>
      <c r="K35" s="136" t="e">
        <f t="shared" si="8"/>
        <v>#DIV/0!</v>
      </c>
      <c r="L35" s="132"/>
      <c r="M35" s="136" t="e">
        <f>AVERAGE(D54:INDEX(D54:K54,0,MATCH('RFPR cover'!$C$7,$D$6:$K$6,0)))/AVERAGE($D$66:INDEX($D$66:$K$66,0,MATCH('RFPR cover'!$C$7,$D$6:$K$6,0)))</f>
        <v>#DIV/0!</v>
      </c>
      <c r="N35" s="136" t="e">
        <f t="shared" si="10"/>
        <v>#DIV/0!</v>
      </c>
    </row>
    <row r="36" spans="2:15">
      <c r="B36" s="207" t="str">
        <f t="shared" si="9"/>
        <v/>
      </c>
      <c r="C36" s="209" t="s">
        <v>250</v>
      </c>
      <c r="D36" s="134" t="e">
        <f t="shared" si="8"/>
        <v>#DIV/0!</v>
      </c>
      <c r="E36" s="135" t="e">
        <f t="shared" si="8"/>
        <v>#DIV/0!</v>
      </c>
      <c r="F36" s="135" t="e">
        <f t="shared" si="8"/>
        <v>#DIV/0!</v>
      </c>
      <c r="G36" s="135" t="e">
        <f t="shared" si="8"/>
        <v>#DIV/0!</v>
      </c>
      <c r="H36" s="135" t="e">
        <f t="shared" si="8"/>
        <v>#DIV/0!</v>
      </c>
      <c r="I36" s="135" t="e">
        <f t="shared" si="8"/>
        <v>#DIV/0!</v>
      </c>
      <c r="J36" s="135" t="e">
        <f t="shared" si="8"/>
        <v>#DIV/0!</v>
      </c>
      <c r="K36" s="136" t="e">
        <f t="shared" si="8"/>
        <v>#DIV/0!</v>
      </c>
      <c r="L36" s="132"/>
      <c r="M36" s="136" t="e">
        <f>AVERAGE(D55:INDEX(D55:K55,0,MATCH('RFPR cover'!$C$7,$D$6:$K$6,0)))/AVERAGE($D$66:INDEX($D$66:$K$66,0,MATCH('RFPR cover'!$C$7,$D$6:$K$6,0)))</f>
        <v>#DIV/0!</v>
      </c>
      <c r="N36" s="136" t="e">
        <f t="shared" si="10"/>
        <v>#DIV/0!</v>
      </c>
    </row>
    <row r="37" spans="2:15">
      <c r="B37" s="207" t="str">
        <f t="shared" si="9"/>
        <v xml:space="preserve">Network Innovation </v>
      </c>
      <c r="C37" s="209" t="s">
        <v>250</v>
      </c>
      <c r="D37" s="134" t="e">
        <f t="shared" si="8"/>
        <v>#DIV/0!</v>
      </c>
      <c r="E37" s="135" t="e">
        <f t="shared" si="8"/>
        <v>#DIV/0!</v>
      </c>
      <c r="F37" s="135" t="e">
        <f t="shared" si="8"/>
        <v>#DIV/0!</v>
      </c>
      <c r="G37" s="135" t="e">
        <f t="shared" si="8"/>
        <v>#DIV/0!</v>
      </c>
      <c r="H37" s="135" t="e">
        <f t="shared" si="8"/>
        <v>#DIV/0!</v>
      </c>
      <c r="I37" s="135" t="e">
        <f t="shared" si="8"/>
        <v>#DIV/0!</v>
      </c>
      <c r="J37" s="135" t="e">
        <f t="shared" si="8"/>
        <v>#DIV/0!</v>
      </c>
      <c r="K37" s="136" t="e">
        <f t="shared" si="8"/>
        <v>#DIV/0!</v>
      </c>
      <c r="L37" s="132"/>
      <c r="M37" s="136" t="e">
        <f>AVERAGE(D56:INDEX(D56:K56,0,MATCH('RFPR cover'!$C$7,$D$6:$K$6,0)))/AVERAGE($D$66:INDEX($D$66:$K$66,0,MATCH('RFPR cover'!$C$7,$D$6:$K$6,0)))</f>
        <v>#DIV/0!</v>
      </c>
      <c r="N37" s="136" t="e">
        <f t="shared" si="10"/>
        <v>#DIV/0!</v>
      </c>
    </row>
    <row r="38" spans="2:15">
      <c r="B38" s="207" t="str">
        <f>B57</f>
        <v>Penalties and fines</v>
      </c>
      <c r="C38" s="209" t="s">
        <v>250</v>
      </c>
      <c r="D38" s="144" t="e">
        <f t="shared" si="8"/>
        <v>#DIV/0!</v>
      </c>
      <c r="E38" s="145" t="e">
        <f t="shared" si="8"/>
        <v>#DIV/0!</v>
      </c>
      <c r="F38" s="145" t="e">
        <f t="shared" si="8"/>
        <v>#DIV/0!</v>
      </c>
      <c r="G38" s="145" t="e">
        <f t="shared" si="8"/>
        <v>#DIV/0!</v>
      </c>
      <c r="H38" s="145" t="e">
        <f t="shared" si="8"/>
        <v>#DIV/0!</v>
      </c>
      <c r="I38" s="145" t="e">
        <f t="shared" si="8"/>
        <v>#DIV/0!</v>
      </c>
      <c r="J38" s="145" t="e">
        <f t="shared" si="8"/>
        <v>#DIV/0!</v>
      </c>
      <c r="K38" s="146" t="e">
        <f t="shared" si="8"/>
        <v>#DIV/0!</v>
      </c>
      <c r="L38" s="132"/>
      <c r="M38" s="146" t="e">
        <f>AVERAGE(D57:INDEX(D57:K57,0,MATCH('RFPR cover'!$C$7,$D$6:$K$6,0)))/AVERAGE($D$66:INDEX($D$66:$K$66,0,MATCH('RFPR cover'!$C$7,$D$6:$K$6,0)))</f>
        <v>#DIV/0!</v>
      </c>
      <c r="N38" s="146" t="e">
        <f t="shared" si="10"/>
        <v>#DIV/0!</v>
      </c>
    </row>
    <row r="39" spans="2:15">
      <c r="B39" s="208" t="str">
        <f>B58</f>
        <v>RoRE - Operational performance</v>
      </c>
      <c r="C39" s="209" t="s">
        <v>250</v>
      </c>
      <c r="D39" s="147" t="e">
        <f t="shared" ref="D39:K39" si="11">SUM(D29:D38)</f>
        <v>#DIV/0!</v>
      </c>
      <c r="E39" s="148" t="e">
        <f t="shared" si="11"/>
        <v>#DIV/0!</v>
      </c>
      <c r="F39" s="148" t="e">
        <f t="shared" si="11"/>
        <v>#DIV/0!</v>
      </c>
      <c r="G39" s="148" t="e">
        <f t="shared" si="11"/>
        <v>#DIV/0!</v>
      </c>
      <c r="H39" s="148" t="e">
        <f t="shared" si="11"/>
        <v>#DIV/0!</v>
      </c>
      <c r="I39" s="148" t="e">
        <f t="shared" si="11"/>
        <v>#DIV/0!</v>
      </c>
      <c r="J39" s="148" t="e">
        <f t="shared" si="11"/>
        <v>#DIV/0!</v>
      </c>
      <c r="K39" s="149" t="e">
        <f t="shared" si="11"/>
        <v>#DIV/0!</v>
      </c>
      <c r="L39" s="133"/>
      <c r="M39" s="149" t="e">
        <f>SUM(M29:M38)</f>
        <v>#DIV/0!</v>
      </c>
      <c r="N39" s="149" t="e">
        <f>SUM(N29:N38)</f>
        <v>#DIV/0!</v>
      </c>
    </row>
    <row r="40" spans="2:15">
      <c r="B40" s="207" t="s">
        <v>252</v>
      </c>
      <c r="C40" s="209" t="s">
        <v>250</v>
      </c>
      <c r="D40" s="134" t="e">
        <f>(D59+D60)/D$66</f>
        <v>#DIV/0!</v>
      </c>
      <c r="E40" s="135" t="e">
        <f t="shared" ref="E40:K40" si="12">(E59+E60)/E$66</f>
        <v>#DIV/0!</v>
      </c>
      <c r="F40" s="135" t="e">
        <f t="shared" si="12"/>
        <v>#DIV/0!</v>
      </c>
      <c r="G40" s="135" t="e">
        <f t="shared" si="12"/>
        <v>#DIV/0!</v>
      </c>
      <c r="H40" s="135" t="e">
        <f t="shared" si="12"/>
        <v>#DIV/0!</v>
      </c>
      <c r="I40" s="135" t="e">
        <f t="shared" si="12"/>
        <v>#DIV/0!</v>
      </c>
      <c r="J40" s="135" t="e">
        <f t="shared" si="12"/>
        <v>#DIV/0!</v>
      </c>
      <c r="K40" s="136" t="e">
        <f t="shared" si="12"/>
        <v>#DIV/0!</v>
      </c>
      <c r="L40" s="132"/>
      <c r="M40" s="136" t="e">
        <f>(AVERAGE(D59:INDEX(D59:K59,0,MATCH('RFPR cover'!$C$7,$D$6:$K$6,0)))+AVERAGE(D60:INDEX(D60:K60,0,MATCH('RFPR cover'!$C$7,$D$6:$K$6,0))))/AVERAGE($D$66:INDEX($D$66:$K$66,0,MATCH('RFPR cover'!$C$7,$D$6:$K$6,0)))</f>
        <v>#DIV/0!</v>
      </c>
      <c r="N40" s="136" t="e">
        <f>(AVERAGE(D59:K59)+AVERAGE(D60:K60))/AVERAGE($D$66:$K$66)</f>
        <v>#DIV/0!</v>
      </c>
    </row>
    <row r="41" spans="2:15">
      <c r="B41" s="207" t="s">
        <v>253</v>
      </c>
      <c r="C41" s="209" t="s">
        <v>250</v>
      </c>
      <c r="D41" s="134" t="e">
        <f>(D61+D62)/D$66</f>
        <v>#DIV/0!</v>
      </c>
      <c r="E41" s="135" t="e">
        <f t="shared" ref="E41:K41" si="13">(E61+E62)/E$66</f>
        <v>#DIV/0!</v>
      </c>
      <c r="F41" s="135" t="e">
        <f t="shared" si="13"/>
        <v>#DIV/0!</v>
      </c>
      <c r="G41" s="135" t="e">
        <f t="shared" si="13"/>
        <v>#DIV/0!</v>
      </c>
      <c r="H41" s="135" t="e">
        <f t="shared" si="13"/>
        <v>#DIV/0!</v>
      </c>
      <c r="I41" s="135" t="e">
        <f t="shared" si="13"/>
        <v>#DIV/0!</v>
      </c>
      <c r="J41" s="135" t="e">
        <f t="shared" si="13"/>
        <v>#DIV/0!</v>
      </c>
      <c r="K41" s="136" t="e">
        <f t="shared" si="13"/>
        <v>#DIV/0!</v>
      </c>
      <c r="L41" s="132"/>
      <c r="M41" s="136" t="e">
        <f>(AVERAGE(D61:INDEX(D61:K61,0,MATCH('RFPR cover'!$C$7,$D$6:$K$6,0)))+AVERAGE(D62:INDEX(D62:K62,0,MATCH('RFPR cover'!$C$7,$D$6:$K$6,0))))/AVERAGE($D$66:INDEX($D$66:$K$66,0,MATCH('RFPR cover'!$C$7,$D$6:$K$6,0)))</f>
        <v>#DIV/0!</v>
      </c>
      <c r="N41" s="136" t="e">
        <f>(AVERAGE(D61:K61)+AVERAGE(D62:K62))/AVERAGE($D$66:$K$66)</f>
        <v>#DIV/0!</v>
      </c>
    </row>
    <row r="42" spans="2:15">
      <c r="B42" s="208" t="str">
        <f>B63</f>
        <v>RoRE - including financing and tax</v>
      </c>
      <c r="C42" s="209" t="s">
        <v>250</v>
      </c>
      <c r="D42" s="150" t="e">
        <f>SUM(D39:D41)</f>
        <v>#DIV/0!</v>
      </c>
      <c r="E42" s="151" t="e">
        <f t="shared" ref="E42:K42" si="14">SUM(E39:E41)</f>
        <v>#DIV/0!</v>
      </c>
      <c r="F42" s="151" t="e">
        <f t="shared" si="14"/>
        <v>#DIV/0!</v>
      </c>
      <c r="G42" s="151" t="e">
        <f t="shared" si="14"/>
        <v>#DIV/0!</v>
      </c>
      <c r="H42" s="151" t="e">
        <f t="shared" si="14"/>
        <v>#DIV/0!</v>
      </c>
      <c r="I42" s="151" t="e">
        <f t="shared" si="14"/>
        <v>#DIV/0!</v>
      </c>
      <c r="J42" s="151" t="e">
        <f t="shared" si="14"/>
        <v>#DIV/0!</v>
      </c>
      <c r="K42" s="152" t="e">
        <f t="shared" si="14"/>
        <v>#DIV/0!</v>
      </c>
      <c r="L42" s="133"/>
      <c r="M42" s="152" t="e">
        <f>SUM(M39:M41)</f>
        <v>#DIV/0!</v>
      </c>
      <c r="N42" s="152" t="e">
        <f>SUM(N39:N41)</f>
        <v>#DIV/0!</v>
      </c>
    </row>
    <row r="43" spans="2:15" s="18" customFormat="1">
      <c r="B43" s="384"/>
      <c r="C43" s="385"/>
      <c r="D43" s="386"/>
      <c r="E43" s="386"/>
      <c r="F43" s="386"/>
      <c r="G43" s="386"/>
      <c r="H43" s="386"/>
      <c r="I43" s="386"/>
      <c r="J43" s="386"/>
      <c r="K43" s="386"/>
      <c r="L43" s="387"/>
      <c r="M43" s="386"/>
      <c r="N43" s="386"/>
    </row>
    <row r="44" spans="2:15" s="18" customFormat="1">
      <c r="B44" s="384"/>
      <c r="C44" s="385"/>
      <c r="D44" s="386"/>
      <c r="E44" s="386"/>
      <c r="F44" s="386"/>
      <c r="G44" s="386"/>
      <c r="H44" s="386"/>
      <c r="I44" s="386"/>
      <c r="J44" s="386"/>
      <c r="K44" s="386"/>
      <c r="L44" s="387"/>
      <c r="M44" s="386"/>
      <c r="N44" s="386"/>
    </row>
    <row r="45" spans="2:15" s="18" customFormat="1">
      <c r="B45" s="426" t="s">
        <v>254</v>
      </c>
      <c r="C45" s="427"/>
      <c r="D45" s="428"/>
      <c r="E45" s="428"/>
      <c r="F45" s="428"/>
      <c r="G45" s="428"/>
      <c r="H45" s="428"/>
      <c r="I45" s="428"/>
      <c r="J45" s="428"/>
      <c r="K45" s="428"/>
      <c r="L45" s="429"/>
      <c r="M45" s="428"/>
      <c r="N45" s="428"/>
      <c r="O45" s="175"/>
    </row>
    <row r="46" spans="2:15" s="18" customFormat="1">
      <c r="B46" s="431" t="str">
        <f>"Input values provided in "&amp;'RFPR cover'!C14&amp;" prices"</f>
        <v>Input values provided in £m 09/10 prices</v>
      </c>
      <c r="C46" s="430"/>
      <c r="D46" s="430"/>
      <c r="E46" s="430"/>
      <c r="F46" s="430"/>
      <c r="G46" s="430"/>
      <c r="H46" s="430"/>
      <c r="I46" s="430"/>
      <c r="J46" s="430"/>
      <c r="K46" s="430"/>
      <c r="L46" s="430"/>
      <c r="M46" s="430"/>
      <c r="N46" s="430"/>
      <c r="O46" s="430"/>
    </row>
    <row r="48" spans="2:15">
      <c r="B48" s="202" t="s">
        <v>255</v>
      </c>
      <c r="C48" s="285" t="str">
        <f>'RFPR cover'!$C$14</f>
        <v>£m 09/10</v>
      </c>
      <c r="D48" s="137"/>
      <c r="E48" s="138"/>
      <c r="F48" s="138"/>
      <c r="G48" s="138"/>
      <c r="H48" s="138"/>
      <c r="I48" s="138"/>
      <c r="J48" s="138"/>
      <c r="K48" s="139"/>
      <c r="M48" s="68">
        <f>SUM(D48:INDEX(D48:K48,0,MATCH('RFPR cover'!$C$7,$D$6:$K$6,0)))</f>
        <v>0</v>
      </c>
      <c r="N48" s="68">
        <f>SUM(D48:K48)</f>
        <v>0</v>
      </c>
    </row>
    <row r="49" spans="2:14">
      <c r="B49" s="202" t="s">
        <v>256</v>
      </c>
      <c r="C49" s="285" t="str">
        <f>'RFPR cover'!$C$14</f>
        <v>£m 09/10</v>
      </c>
      <c r="D49" s="206"/>
      <c r="E49" s="206"/>
      <c r="F49" s="206"/>
      <c r="G49" s="206"/>
      <c r="H49" s="206"/>
      <c r="I49" s="206"/>
      <c r="J49" s="206"/>
      <c r="K49" s="206"/>
      <c r="M49" s="68">
        <f>SUM(D49:INDEX(D49:K49,0,MATCH('RFPR cover'!$C$7,$D$6:$K$6,0)))</f>
        <v>0</v>
      </c>
      <c r="N49" s="68">
        <f>SUM(D49:K49)</f>
        <v>0</v>
      </c>
    </row>
    <row r="50" spans="2:14">
      <c r="B50" s="204" t="s">
        <v>257</v>
      </c>
      <c r="C50" s="285" t="str">
        <f>'RFPR cover'!$C$14</f>
        <v>£m 09/10</v>
      </c>
      <c r="D50" s="198"/>
      <c r="E50" s="140"/>
      <c r="F50" s="140"/>
      <c r="G50" s="140"/>
      <c r="H50" s="140"/>
      <c r="I50" s="140"/>
      <c r="J50" s="140"/>
      <c r="K50" s="141"/>
      <c r="M50" s="68">
        <f>SUM(D50:INDEX(D50:K50,0,MATCH('RFPR cover'!$C$7,$D$6:$K$6,0)))</f>
        <v>0</v>
      </c>
      <c r="N50" s="68">
        <f t="shared" ref="N50:N57" si="15">SUM(D50:K50)</f>
        <v>0</v>
      </c>
    </row>
    <row r="51" spans="2:14">
      <c r="B51" s="205" t="str">
        <f>'R5 - Output Incentives'!B39</f>
        <v>Electricity Market Reform incentive revenue</v>
      </c>
      <c r="C51" s="285" t="str">
        <f>'RFPR cover'!$C$14</f>
        <v>£m 09/10</v>
      </c>
      <c r="D51" s="198"/>
      <c r="E51" s="140"/>
      <c r="F51" s="140"/>
      <c r="G51" s="140"/>
      <c r="H51" s="140"/>
      <c r="I51" s="140"/>
      <c r="J51" s="140"/>
      <c r="K51" s="141"/>
      <c r="M51" s="68">
        <f>SUM(D51:INDEX(D51:K51,0,MATCH('RFPR cover'!$C$7,$D$6:$K$6,0)))</f>
        <v>0</v>
      </c>
      <c r="N51" s="68">
        <f t="shared" si="15"/>
        <v>0</v>
      </c>
    </row>
    <row r="52" spans="2:14">
      <c r="B52" s="205" t="str">
        <f>'R5 - Output Incentives'!B40</f>
        <v>Balancing Services Incentive Scheme</v>
      </c>
      <c r="C52" s="285" t="str">
        <f>'RFPR cover'!$C$14</f>
        <v>£m 09/10</v>
      </c>
      <c r="D52" s="198"/>
      <c r="E52" s="140"/>
      <c r="F52" s="140"/>
      <c r="G52" s="140"/>
      <c r="H52" s="140"/>
      <c r="I52" s="140"/>
      <c r="J52" s="140"/>
      <c r="K52" s="141"/>
      <c r="M52" s="68">
        <f>SUM(D52:INDEX(D52:K52,0,MATCH('RFPR cover'!$C$7,$D$6:$K$6,0)))</f>
        <v>0</v>
      </c>
      <c r="N52" s="68">
        <f t="shared" si="15"/>
        <v>0</v>
      </c>
    </row>
    <row r="53" spans="2:14">
      <c r="B53" s="205" t="str">
        <f>'R5 - Output Incentives'!B41</f>
        <v>Renewable wind forecasting incentive</v>
      </c>
      <c r="C53" s="285" t="str">
        <f>'RFPR cover'!$C$14</f>
        <v>£m 09/10</v>
      </c>
      <c r="D53" s="198"/>
      <c r="E53" s="140"/>
      <c r="F53" s="140"/>
      <c r="G53" s="140"/>
      <c r="H53" s="140"/>
      <c r="I53" s="140"/>
      <c r="J53" s="140"/>
      <c r="K53" s="141"/>
      <c r="M53" s="68">
        <f>SUM(D53:INDEX(D53:K53,0,MATCH('RFPR cover'!$C$7,$D$6:$K$6,0)))</f>
        <v>0</v>
      </c>
      <c r="N53" s="68">
        <f t="shared" si="15"/>
        <v>0</v>
      </c>
    </row>
    <row r="54" spans="2:14">
      <c r="B54" s="205" t="str">
        <f>'R5 - Output Incentives'!B42</f>
        <v>New ESO Incentive (FY19 onwards)</v>
      </c>
      <c r="C54" s="285" t="str">
        <f>'RFPR cover'!$C$14</f>
        <v>£m 09/10</v>
      </c>
      <c r="D54" s="198"/>
      <c r="E54" s="140"/>
      <c r="F54" s="140"/>
      <c r="G54" s="140"/>
      <c r="H54" s="140"/>
      <c r="I54" s="140"/>
      <c r="J54" s="140"/>
      <c r="K54" s="141"/>
      <c r="M54" s="68">
        <f>SUM(D54:INDEX(D54:K54,0,MATCH('RFPR cover'!$C$7,$D$6:$K$6,0)))</f>
        <v>0</v>
      </c>
      <c r="N54" s="68">
        <f t="shared" si="15"/>
        <v>0</v>
      </c>
    </row>
    <row r="55" spans="2:14">
      <c r="B55" s="205" t="str">
        <f>'R5 - Output Incentives'!B43</f>
        <v/>
      </c>
      <c r="C55" s="285" t="str">
        <f>'RFPR cover'!$C$14</f>
        <v>£m 09/10</v>
      </c>
      <c r="D55" s="198"/>
      <c r="E55" s="140"/>
      <c r="F55" s="140"/>
      <c r="G55" s="140"/>
      <c r="H55" s="140"/>
      <c r="I55" s="140"/>
      <c r="J55" s="140"/>
      <c r="K55" s="141"/>
      <c r="M55" s="68">
        <f>SUM(D55:INDEX(D55:K55,0,MATCH('RFPR cover'!$C$7,$D$6:$K$6,0)))</f>
        <v>0</v>
      </c>
      <c r="N55" s="68">
        <f t="shared" si="15"/>
        <v>0</v>
      </c>
    </row>
    <row r="56" spans="2:14">
      <c r="B56" s="202" t="s">
        <v>258</v>
      </c>
      <c r="C56" s="285" t="str">
        <f>'RFPR cover'!$C$14</f>
        <v>£m 09/10</v>
      </c>
      <c r="D56" s="198"/>
      <c r="E56" s="140"/>
      <c r="F56" s="140"/>
      <c r="G56" s="140"/>
      <c r="H56" s="140"/>
      <c r="I56" s="140"/>
      <c r="J56" s="140"/>
      <c r="K56" s="141"/>
      <c r="M56" s="68">
        <f>SUM(D56:INDEX(D56:K56,0,MATCH('RFPR cover'!$C$7,$D$6:$K$6,0)))</f>
        <v>0</v>
      </c>
      <c r="N56" s="68">
        <f t="shared" si="15"/>
        <v>0</v>
      </c>
    </row>
    <row r="57" spans="2:14">
      <c r="B57" s="202" t="s">
        <v>259</v>
      </c>
      <c r="C57" s="285" t="str">
        <f>'RFPR cover'!$C$14</f>
        <v>£m 09/10</v>
      </c>
      <c r="D57" s="199"/>
      <c r="E57" s="199"/>
      <c r="F57" s="199"/>
      <c r="G57" s="199"/>
      <c r="H57" s="199"/>
      <c r="I57" s="199"/>
      <c r="J57" s="199"/>
      <c r="K57" s="199"/>
      <c r="M57" s="68">
        <f>SUM(D57:INDEX(D57:K57,0,MATCH('RFPR cover'!$C$7,$D$6:$K$6,0)))</f>
        <v>0</v>
      </c>
      <c r="N57" s="68">
        <f t="shared" si="15"/>
        <v>0</v>
      </c>
    </row>
    <row r="58" spans="2:14">
      <c r="B58" s="203" t="s">
        <v>260</v>
      </c>
      <c r="C58" s="285" t="str">
        <f>'RFPR cover'!$C$14</f>
        <v>£m 09/10</v>
      </c>
      <c r="D58" s="200">
        <f t="shared" ref="D58:K58" si="16">SUM(D48:D57)</f>
        <v>0</v>
      </c>
      <c r="E58" s="105">
        <f t="shared" si="16"/>
        <v>0</v>
      </c>
      <c r="F58" s="105">
        <f t="shared" si="16"/>
        <v>0</v>
      </c>
      <c r="G58" s="105">
        <f t="shared" si="16"/>
        <v>0</v>
      </c>
      <c r="H58" s="105">
        <f t="shared" si="16"/>
        <v>0</v>
      </c>
      <c r="I58" s="105">
        <f t="shared" si="16"/>
        <v>0</v>
      </c>
      <c r="J58" s="105">
        <f t="shared" si="16"/>
        <v>0</v>
      </c>
      <c r="K58" s="106">
        <f t="shared" si="16"/>
        <v>0</v>
      </c>
      <c r="M58" s="104">
        <f>SUM(M48:M57)</f>
        <v>0</v>
      </c>
      <c r="N58" s="106">
        <f>SUM(N48:N57)</f>
        <v>0</v>
      </c>
    </row>
    <row r="59" spans="2:14">
      <c r="B59" s="202" t="s">
        <v>261</v>
      </c>
      <c r="C59" s="285" t="str">
        <f>'RFPR cover'!$C$14</f>
        <v>£m 09/10</v>
      </c>
      <c r="D59" s="198"/>
      <c r="E59" s="198"/>
      <c r="F59" s="198"/>
      <c r="G59" s="198"/>
      <c r="H59" s="198"/>
      <c r="I59" s="198"/>
      <c r="J59" s="198"/>
      <c r="K59" s="198"/>
      <c r="M59" s="68">
        <f>SUM(D59:INDEX(D59:K59,0,MATCH('RFPR cover'!$C$7,$D$6:$K$6,0)))</f>
        <v>0</v>
      </c>
      <c r="N59" s="68">
        <f>SUM(D59:K59)</f>
        <v>0</v>
      </c>
    </row>
    <row r="60" spans="2:14">
      <c r="B60" s="202" t="s">
        <v>262</v>
      </c>
      <c r="C60" s="285" t="str">
        <f>'RFPR cover'!$C$14</f>
        <v>£m 09/10</v>
      </c>
      <c r="D60" s="198"/>
      <c r="E60" s="198"/>
      <c r="F60" s="198"/>
      <c r="G60" s="198"/>
      <c r="H60" s="198"/>
      <c r="I60" s="198"/>
      <c r="J60" s="198"/>
      <c r="K60" s="198"/>
      <c r="M60" s="68">
        <f>SUM(D60:INDEX(D60:K60,0,MATCH('RFPR cover'!$C$7,$D$6:$K$6,0)))</f>
        <v>0</v>
      </c>
      <c r="N60" s="68">
        <f>SUM(D60:K60)</f>
        <v>0</v>
      </c>
    </row>
    <row r="61" spans="2:14">
      <c r="B61" s="202" t="s">
        <v>263</v>
      </c>
      <c r="C61" s="285" t="str">
        <f>'RFPR cover'!$C$14</f>
        <v>£m 09/10</v>
      </c>
      <c r="D61" s="198"/>
      <c r="E61" s="198"/>
      <c r="F61" s="198"/>
      <c r="G61" s="198"/>
      <c r="H61" s="198"/>
      <c r="I61" s="198"/>
      <c r="J61" s="198"/>
      <c r="K61" s="198"/>
      <c r="M61" s="68">
        <f>SUM(D61:INDEX(D61:K61,0,MATCH('RFPR cover'!$C$7,$D$6:$K$6,0)))</f>
        <v>0</v>
      </c>
      <c r="N61" s="68">
        <f>SUM(D61:K61)</f>
        <v>0</v>
      </c>
    </row>
    <row r="62" spans="2:14">
      <c r="B62" s="202" t="s">
        <v>264</v>
      </c>
      <c r="C62" s="285" t="str">
        <f>'RFPR cover'!$C$14</f>
        <v>£m 09/10</v>
      </c>
      <c r="D62" s="198"/>
      <c r="E62" s="198"/>
      <c r="F62" s="198"/>
      <c r="G62" s="198"/>
      <c r="H62" s="198"/>
      <c r="I62" s="198"/>
      <c r="J62" s="198"/>
      <c r="K62" s="198"/>
      <c r="M62" s="68">
        <f>SUM(D62:INDEX(D62:K62,0,MATCH('RFPR cover'!$C$7,$D$6:$K$6,0)))</f>
        <v>0</v>
      </c>
      <c r="N62" s="68">
        <f>SUM(D62:K62)</f>
        <v>0</v>
      </c>
    </row>
    <row r="63" spans="2:14">
      <c r="B63" s="203" t="s">
        <v>265</v>
      </c>
      <c r="C63" s="285" t="str">
        <f>'RFPR cover'!$C$14</f>
        <v>£m 09/10</v>
      </c>
      <c r="D63" s="873">
        <f>SUM(D58:D62)</f>
        <v>0</v>
      </c>
      <c r="E63" s="108">
        <f t="shared" ref="E63:K63" si="17">SUM(E58:E62)</f>
        <v>0</v>
      </c>
      <c r="F63" s="108">
        <f t="shared" si="17"/>
        <v>0</v>
      </c>
      <c r="G63" s="108">
        <f t="shared" si="17"/>
        <v>0</v>
      </c>
      <c r="H63" s="108">
        <f t="shared" si="17"/>
        <v>0</v>
      </c>
      <c r="I63" s="108">
        <f t="shared" si="17"/>
        <v>0</v>
      </c>
      <c r="J63" s="108">
        <f t="shared" si="17"/>
        <v>0</v>
      </c>
      <c r="K63" s="109">
        <f t="shared" si="17"/>
        <v>0</v>
      </c>
      <c r="M63" s="107">
        <f>SUM(M58:M62)</f>
        <v>0</v>
      </c>
      <c r="N63" s="109">
        <f>SUM(N58:N62)</f>
        <v>0</v>
      </c>
    </row>
    <row r="64" spans="2:14">
      <c r="B64" s="202"/>
      <c r="D64" s="869"/>
    </row>
    <row r="65" spans="2:11">
      <c r="B65" s="202" t="s">
        <v>266</v>
      </c>
      <c r="C65" s="285" t="str">
        <f>'RFPR cover'!$C$14</f>
        <v>£m 09/10</v>
      </c>
      <c r="D65" s="197"/>
      <c r="E65" s="138"/>
      <c r="F65" s="138"/>
      <c r="G65" s="138"/>
      <c r="H65" s="138"/>
      <c r="I65" s="138"/>
      <c r="J65" s="138"/>
      <c r="K65" s="139"/>
    </row>
    <row r="66" spans="2:11">
      <c r="B66" s="202" t="s">
        <v>267</v>
      </c>
      <c r="C66" s="285" t="str">
        <f>'RFPR cover'!$C$14</f>
        <v>£m 09/10</v>
      </c>
      <c r="D66" s="201"/>
      <c r="E66" s="142"/>
      <c r="F66" s="142"/>
      <c r="G66" s="142"/>
      <c r="H66" s="142"/>
      <c r="I66" s="142"/>
      <c r="J66" s="142"/>
      <c r="K66" s="143"/>
    </row>
  </sheetData>
  <sheetProtection algorithmName="SHA-512" hashValue="xIIJXfYXKAZ/pRXvVRg2y/u8DwWYntkvJweuvcu1u+WSgA6BMOmc7H7NepfXTLdrs3MyNKGe1ugsXUrhjnBHbg==" saltValue="d3a5KGzG7zoii/I+k/jfnQ==" spinCount="100000" sheet="1" formatCells="0" formatColumns="0" formatRows="0" insertColumns="0" insertRows="0" insertHyperlinks="0" deleteColumns="0" deleteRows="0" sort="0" autoFilter="0" pivotTables="0"/>
  <conditionalFormatting sqref="D5:K6">
    <cfRule type="expression" dxfId="75"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activeCell="M18" sqref="M18"/>
    </sheetView>
  </sheetViews>
  <sheetFormatPr defaultRowHeight="12.75"/>
  <cols>
    <col min="1" max="1" width="8.375" customWidth="1"/>
    <col min="2" max="2" width="64.375" style="171" customWidth="1"/>
    <col min="3" max="3" width="13.375" style="98" customWidth="1"/>
    <col min="4" max="11" width="11.125" customWidth="1"/>
    <col min="12" max="12" width="5" style="28" customWidth="1"/>
  </cols>
  <sheetData>
    <row r="1" spans="1:12" s="18" customFormat="1" ht="20.25">
      <c r="A1" s="856" t="s">
        <v>199</v>
      </c>
      <c r="B1" s="736"/>
      <c r="C1" s="229"/>
      <c r="D1" s="228"/>
      <c r="E1" s="228"/>
      <c r="F1" s="228"/>
      <c r="G1" s="228"/>
      <c r="H1" s="228"/>
      <c r="I1" s="228"/>
      <c r="J1" s="228"/>
      <c r="K1" s="228"/>
      <c r="L1" s="874"/>
    </row>
    <row r="2" spans="1:12" s="18" customFormat="1" ht="20.25">
      <c r="A2" s="725" t="str">
        <f>'RFPR cover'!C5</f>
        <v>NGET (SO)</v>
      </c>
      <c r="B2" s="737"/>
      <c r="C2" s="97"/>
      <c r="D2" s="16"/>
      <c r="E2" s="16"/>
      <c r="F2" s="16"/>
      <c r="G2" s="16"/>
      <c r="H2" s="16"/>
      <c r="I2" s="15"/>
      <c r="J2" s="15"/>
      <c r="K2" s="15"/>
      <c r="L2" s="93"/>
    </row>
    <row r="3" spans="1:12" s="18" customFormat="1" ht="20.25">
      <c r="A3" s="728">
        <f>'RFPR cover'!C7</f>
        <v>2020</v>
      </c>
      <c r="B3" s="738"/>
      <c r="C3" s="230"/>
      <c r="D3" s="214"/>
      <c r="E3" s="214"/>
      <c r="F3" s="214"/>
      <c r="G3" s="214"/>
      <c r="H3" s="214"/>
      <c r="I3" s="210"/>
      <c r="J3" s="210"/>
      <c r="K3" s="210"/>
      <c r="L3" s="215"/>
    </row>
    <row r="4" spans="1:12" s="21" customFormat="1" ht="12.75" customHeight="1">
      <c r="B4" s="183"/>
      <c r="C4" s="100"/>
      <c r="L4" s="41"/>
    </row>
    <row r="5" spans="1:12" s="2" customFormat="1">
      <c r="B5" s="94"/>
      <c r="C5" s="98"/>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c r="L5" s="37"/>
    </row>
    <row r="6" spans="1:12" s="2" customFormat="1">
      <c r="B6" s="94"/>
      <c r="C6" s="98"/>
      <c r="D6" s="63">
        <f>'RFPR cover'!$C$13</f>
        <v>2014</v>
      </c>
      <c r="E6" s="64">
        <f>D6+1</f>
        <v>2015</v>
      </c>
      <c r="F6" s="64">
        <f t="shared" ref="F6:K6" si="0">E6+1</f>
        <v>2016</v>
      </c>
      <c r="G6" s="64">
        <f t="shared" si="0"/>
        <v>2017</v>
      </c>
      <c r="H6" s="64">
        <f t="shared" si="0"/>
        <v>2018</v>
      </c>
      <c r="I6" s="64">
        <f t="shared" si="0"/>
        <v>2019</v>
      </c>
      <c r="J6" s="64">
        <f t="shared" si="0"/>
        <v>2020</v>
      </c>
      <c r="K6" s="64">
        <f t="shared" si="0"/>
        <v>2021</v>
      </c>
      <c r="L6" s="37"/>
    </row>
    <row r="7" spans="1:12" s="2" customFormat="1">
      <c r="B7" s="612"/>
      <c r="C7" s="112"/>
      <c r="D7" s="33"/>
      <c r="E7" s="33"/>
      <c r="F7" s="33"/>
      <c r="G7" s="33"/>
      <c r="H7" s="33"/>
      <c r="I7" s="33"/>
      <c r="J7" s="33"/>
      <c r="K7" s="33"/>
      <c r="L7" s="41"/>
    </row>
    <row r="8" spans="1:12" s="2" customFormat="1">
      <c r="B8" s="613" t="s">
        <v>300</v>
      </c>
      <c r="C8" s="110"/>
      <c r="D8" s="60"/>
      <c r="E8" s="60"/>
      <c r="F8" s="60"/>
      <c r="G8" s="60"/>
      <c r="H8" s="60"/>
      <c r="I8" s="60"/>
      <c r="J8" s="60"/>
      <c r="K8" s="60"/>
      <c r="L8" s="226"/>
    </row>
    <row r="9" spans="1:12" s="21" customFormat="1">
      <c r="A9" s="2"/>
      <c r="B9" s="614"/>
      <c r="C9" s="100"/>
      <c r="L9" s="41"/>
    </row>
    <row r="10" spans="1:12" s="2" customFormat="1">
      <c r="B10" s="615" t="s">
        <v>301</v>
      </c>
      <c r="C10" s="111" t="str">
        <f>'RFPR cover'!$C$14</f>
        <v>£m 09/10</v>
      </c>
      <c r="D10" s="492">
        <v>113.976</v>
      </c>
      <c r="E10" s="492">
        <v>113.533</v>
      </c>
      <c r="F10" s="492">
        <v>114.357</v>
      </c>
      <c r="G10" s="492">
        <v>116.705</v>
      </c>
      <c r="H10" s="492">
        <v>122.833</v>
      </c>
      <c r="I10" s="492">
        <v>117.524</v>
      </c>
      <c r="J10" s="492">
        <v>124.73099999999999</v>
      </c>
      <c r="K10" s="493"/>
      <c r="L10" s="957"/>
    </row>
    <row r="11" spans="1:12" s="2" customFormat="1">
      <c r="B11" s="615" t="s">
        <v>302</v>
      </c>
      <c r="C11" s="111" t="str">
        <f>'RFPR cover'!$C$14</f>
        <v>£m 09/10</v>
      </c>
      <c r="D11" s="947">
        <v>0</v>
      </c>
      <c r="E11" s="492">
        <v>3.7</v>
      </c>
      <c r="F11" s="492">
        <v>6</v>
      </c>
      <c r="G11" s="492">
        <v>20.9</v>
      </c>
      <c r="H11" s="492">
        <v>9.1999999999999993</v>
      </c>
      <c r="I11" s="492">
        <v>30.1</v>
      </c>
      <c r="J11" s="492">
        <v>97</v>
      </c>
      <c r="K11" s="495"/>
      <c r="L11" s="957"/>
    </row>
    <row r="12" spans="1:12" s="2" customFormat="1">
      <c r="B12" s="615" t="s">
        <v>303</v>
      </c>
      <c r="C12" s="111" t="str">
        <f>'RFPR cover'!$C$14</f>
        <v>£m 09/10</v>
      </c>
      <c r="D12" s="947">
        <v>0</v>
      </c>
      <c r="E12" s="492">
        <v>-3.9893144200247609E-2</v>
      </c>
      <c r="F12" s="492">
        <v>0.42654856661829127</v>
      </c>
      <c r="G12" s="492">
        <v>-1.8113784597047438</v>
      </c>
      <c r="H12" s="492">
        <v>-2.7317247502935995</v>
      </c>
      <c r="I12" s="492">
        <v>-0.56794503895226711</v>
      </c>
      <c r="J12" s="492">
        <v>0.32976036999645519</v>
      </c>
      <c r="K12" s="495"/>
      <c r="L12" s="957"/>
    </row>
    <row r="13" spans="1:12" s="2" customFormat="1">
      <c r="B13" s="615" t="s">
        <v>304</v>
      </c>
      <c r="C13" s="112" t="s">
        <v>296</v>
      </c>
      <c r="D13" s="492">
        <v>1.163</v>
      </c>
      <c r="E13" s="492">
        <v>1.2050000000000001</v>
      </c>
      <c r="F13" s="492">
        <v>1.2270000000000001</v>
      </c>
      <c r="G13" s="492">
        <v>1.2330000000000001</v>
      </c>
      <c r="H13" s="492">
        <v>1.2709999999999999</v>
      </c>
      <c r="I13" s="492">
        <v>1.3140000000000001</v>
      </c>
      <c r="J13" s="492">
        <v>1.3580000000000001</v>
      </c>
      <c r="K13" s="656"/>
      <c r="L13" s="957"/>
    </row>
    <row r="14" spans="1:12" s="2" customFormat="1">
      <c r="B14" s="616" t="s">
        <v>305</v>
      </c>
      <c r="C14" s="220" t="s">
        <v>297</v>
      </c>
      <c r="D14" s="521">
        <f>SUM(D10:D12)*D13</f>
        <v>132.55408800000001</v>
      </c>
      <c r="E14" s="522">
        <f t="shared" ref="E14:K14" si="1">SUM(E10:E12)*E13</f>
        <v>141.21769376123871</v>
      </c>
      <c r="F14" s="522">
        <f t="shared" si="1"/>
        <v>148.20141409124065</v>
      </c>
      <c r="G14" s="522">
        <f t="shared" si="1"/>
        <v>167.43353535918405</v>
      </c>
      <c r="H14" s="522">
        <f t="shared" si="1"/>
        <v>164.34192084237679</v>
      </c>
      <c r="I14" s="522">
        <f t="shared" si="1"/>
        <v>193.23165621881671</v>
      </c>
      <c r="J14" s="522">
        <f t="shared" si="1"/>
        <v>301.55851258245519</v>
      </c>
      <c r="K14" s="908">
        <f t="shared" si="1"/>
        <v>0</v>
      </c>
      <c r="L14" s="41"/>
    </row>
    <row r="15" spans="1:12" s="2" customFormat="1">
      <c r="B15" s="171" t="s">
        <v>306</v>
      </c>
      <c r="C15" s="112" t="s">
        <v>297</v>
      </c>
      <c r="D15" s="902">
        <f>'R5 - Output Incentives'!D102</f>
        <v>22.55772055000001</v>
      </c>
      <c r="E15" s="903">
        <f>'R5 - Output Incentives'!E102</f>
        <v>25.724950852999999</v>
      </c>
      <c r="F15" s="904">
        <f>'R5 - Output Incentives'!F102</f>
        <v>29.735227999999999</v>
      </c>
      <c r="G15" s="904">
        <f>'R5 - Output Incentives'!G102</f>
        <v>4.2319466000000086</v>
      </c>
      <c r="H15" s="904">
        <f>'R5 - Output Incentives'!H102</f>
        <v>9.8108895992800846</v>
      </c>
      <c r="I15" s="904">
        <f>'R5 - Output Incentives'!I102</f>
        <v>0.80545454545454542</v>
      </c>
      <c r="J15" s="904">
        <f>'R5 - Output Incentives'!J102</f>
        <v>2.1475414465294227</v>
      </c>
      <c r="K15" s="905">
        <f>'R5 - Output Incentives'!K102</f>
        <v>-0.94110092781172194</v>
      </c>
      <c r="L15" s="41"/>
    </row>
    <row r="16" spans="1:12" s="2" customFormat="1">
      <c r="B16" s="617" t="s">
        <v>307</v>
      </c>
      <c r="C16" s="112" t="s">
        <v>297</v>
      </c>
      <c r="D16" s="906">
        <v>0</v>
      </c>
      <c r="E16" s="906">
        <v>0</v>
      </c>
      <c r="F16" s="906">
        <v>0</v>
      </c>
      <c r="G16" s="906">
        <v>0</v>
      </c>
      <c r="H16" s="906">
        <v>0</v>
      </c>
      <c r="I16" s="906">
        <v>0</v>
      </c>
      <c r="J16" s="906">
        <v>0</v>
      </c>
      <c r="K16" s="907"/>
      <c r="L16" s="41"/>
    </row>
    <row r="17" spans="2:12" s="2" customFormat="1">
      <c r="B17" s="617" t="s">
        <v>308</v>
      </c>
      <c r="C17" s="112" t="s">
        <v>297</v>
      </c>
      <c r="D17" s="496">
        <f>'R6 - Innovation'!D12</f>
        <v>0.99108639620049499</v>
      </c>
      <c r="E17" s="497">
        <f>'R6 - Innovation'!E12</f>
        <v>2.7930922923878749</v>
      </c>
      <c r="F17" s="498">
        <f>'R6 - Innovation'!F12</f>
        <v>1.8662294380714286</v>
      </c>
      <c r="G17" s="498">
        <f>'R6 - Innovation'!G12</f>
        <v>1.3142097719999997</v>
      </c>
      <c r="H17" s="498">
        <f>'R6 - Innovation'!H12</f>
        <v>1.5029999999999999</v>
      </c>
      <c r="I17" s="498">
        <f>'R6 - Innovation'!I12</f>
        <v>3.0312000000000001</v>
      </c>
      <c r="J17" s="498">
        <f>'R6 - Innovation'!J12</f>
        <v>2.6177405974540537</v>
      </c>
      <c r="K17" s="499">
        <f>'R6 - Innovation'!K12</f>
        <v>1.2983924079000002</v>
      </c>
      <c r="L17" s="41"/>
    </row>
    <row r="18" spans="2:12" s="2" customFormat="1">
      <c r="B18" s="617" t="s">
        <v>309</v>
      </c>
      <c r="C18" s="112" t="s">
        <v>297</v>
      </c>
      <c r="D18" s="902">
        <f>'R6 - Innovation'!D17</f>
        <v>0</v>
      </c>
      <c r="E18" s="903">
        <f>'R6 - Innovation'!E17</f>
        <v>0</v>
      </c>
      <c r="F18" s="904">
        <f>'R6 - Innovation'!F17</f>
        <v>0</v>
      </c>
      <c r="G18" s="904">
        <f>'R6 - Innovation'!G17</f>
        <v>0</v>
      </c>
      <c r="H18" s="904">
        <f>'R6 - Innovation'!H17</f>
        <v>0</v>
      </c>
      <c r="I18" s="904">
        <f>'R6 - Innovation'!I17</f>
        <v>0</v>
      </c>
      <c r="J18" s="904">
        <f>'R6 - Innovation'!J17</f>
        <v>0</v>
      </c>
      <c r="K18" s="905">
        <f>'R6 - Innovation'!K17</f>
        <v>0</v>
      </c>
      <c r="L18" s="41"/>
    </row>
    <row r="19" spans="2:12" s="2" customFormat="1">
      <c r="B19" s="954" t="s">
        <v>571</v>
      </c>
      <c r="C19" s="112" t="s">
        <v>297</v>
      </c>
      <c r="D19" s="906">
        <v>0</v>
      </c>
      <c r="E19" s="906">
        <v>17.486478006367978</v>
      </c>
      <c r="F19" s="906">
        <v>0</v>
      </c>
      <c r="G19" s="906">
        <v>0</v>
      </c>
      <c r="H19" s="906">
        <v>0</v>
      </c>
      <c r="I19" s="906">
        <v>0</v>
      </c>
      <c r="J19" s="906">
        <v>0</v>
      </c>
      <c r="K19" s="495"/>
      <c r="L19" s="41"/>
    </row>
    <row r="20" spans="2:12" s="2" customFormat="1">
      <c r="B20" s="954" t="s">
        <v>572</v>
      </c>
      <c r="C20" s="112" t="s">
        <v>297</v>
      </c>
      <c r="D20" s="906">
        <v>0</v>
      </c>
      <c r="E20" s="906">
        <v>0</v>
      </c>
      <c r="F20" s="906">
        <v>0</v>
      </c>
      <c r="G20" s="492">
        <v>-9.0882331403782803</v>
      </c>
      <c r="H20" s="906">
        <v>0</v>
      </c>
      <c r="I20" s="906">
        <v>0</v>
      </c>
      <c r="J20" s="906">
        <v>0</v>
      </c>
      <c r="K20" s="495"/>
      <c r="L20" s="41"/>
    </row>
    <row r="21" spans="2:12" s="2" customFormat="1">
      <c r="B21" s="954" t="s">
        <v>573</v>
      </c>
      <c r="C21" s="112" t="s">
        <v>297</v>
      </c>
      <c r="D21" s="492">
        <v>-22.55772055000001</v>
      </c>
      <c r="E21" s="492">
        <v>-25.724950852999999</v>
      </c>
      <c r="F21" s="492">
        <v>-29.738235317000001</v>
      </c>
      <c r="G21" s="492">
        <v>-4.3025286000000085</v>
      </c>
      <c r="H21" s="492">
        <v>-9.8108895992800846</v>
      </c>
      <c r="I21" s="492">
        <v>-0.80545454545454542</v>
      </c>
      <c r="J21" s="492">
        <v>-2.1475414465294227</v>
      </c>
      <c r="K21" s="495"/>
      <c r="L21" s="41"/>
    </row>
    <row r="22" spans="2:12" s="2" customFormat="1">
      <c r="B22" s="954" t="s">
        <v>574</v>
      </c>
      <c r="C22" s="112" t="s">
        <v>297</v>
      </c>
      <c r="D22" s="906">
        <v>0</v>
      </c>
      <c r="E22" s="906">
        <v>0</v>
      </c>
      <c r="F22" s="906">
        <v>0</v>
      </c>
      <c r="G22" s="906">
        <v>0.15412500000000001</v>
      </c>
      <c r="H22" s="906">
        <v>9.5324999999999993E-2</v>
      </c>
      <c r="I22" s="492">
        <v>-7.167272727272736E-2</v>
      </c>
      <c r="J22" s="906">
        <v>1.5583612843869559</v>
      </c>
      <c r="K22" s="495"/>
      <c r="L22" s="41"/>
    </row>
    <row r="23" spans="2:12" s="2" customFormat="1">
      <c r="B23" s="954" t="s">
        <v>310</v>
      </c>
      <c r="C23" s="112" t="s">
        <v>297</v>
      </c>
      <c r="D23" s="492">
        <v>-0.99108639620049499</v>
      </c>
      <c r="E23" s="492">
        <v>-2.7930922923878749</v>
      </c>
      <c r="F23" s="492">
        <v>-1.8662294380714286</v>
      </c>
      <c r="G23" s="492">
        <v>-1.3142097719999997</v>
      </c>
      <c r="H23" s="492">
        <v>-1.5029999999999999</v>
      </c>
      <c r="I23" s="492">
        <v>-3.0312000000000001</v>
      </c>
      <c r="J23" s="492">
        <v>-2.6177405974540537</v>
      </c>
      <c r="K23" s="495"/>
      <c r="L23" s="41"/>
    </row>
    <row r="24" spans="2:12" s="2" customFormat="1">
      <c r="B24" s="954" t="s">
        <v>340</v>
      </c>
      <c r="C24" s="112" t="s">
        <v>297</v>
      </c>
      <c r="D24" s="906"/>
      <c r="E24" s="906"/>
      <c r="F24" s="906"/>
      <c r="G24" s="906"/>
      <c r="H24" s="906"/>
      <c r="I24" s="906"/>
      <c r="J24" s="906"/>
      <c r="K24" s="495"/>
      <c r="L24" s="41"/>
    </row>
    <row r="25" spans="2:12" s="2" customFormat="1">
      <c r="B25" s="617" t="s">
        <v>311</v>
      </c>
      <c r="C25" s="112" t="s">
        <v>297</v>
      </c>
      <c r="D25" s="906"/>
      <c r="E25" s="906"/>
      <c r="F25" s="906"/>
      <c r="G25" s="906"/>
      <c r="H25" s="906"/>
      <c r="I25" s="906"/>
      <c r="J25" s="906"/>
      <c r="K25" s="495"/>
      <c r="L25" s="41"/>
    </row>
    <row r="26" spans="2:12" s="2" customFormat="1">
      <c r="B26" s="612" t="s">
        <v>312</v>
      </c>
      <c r="C26" s="112" t="s">
        <v>297</v>
      </c>
      <c r="D26" s="500">
        <f>SUM(D14:D24,-D25)</f>
        <v>132.55408800000001</v>
      </c>
      <c r="E26" s="501">
        <f t="shared" ref="E26:K26" si="2">SUM(E14:E24,-E25)</f>
        <v>158.70417176760668</v>
      </c>
      <c r="F26" s="501">
        <f t="shared" si="2"/>
        <v>148.19840677424065</v>
      </c>
      <c r="G26" s="501">
        <f t="shared" si="2"/>
        <v>158.42884521880575</v>
      </c>
      <c r="H26" s="501">
        <f t="shared" si="2"/>
        <v>164.4372458423768</v>
      </c>
      <c r="I26" s="501">
        <f t="shared" si="2"/>
        <v>193.15998349154398</v>
      </c>
      <c r="J26" s="501">
        <f t="shared" si="2"/>
        <v>303.11687386684213</v>
      </c>
      <c r="K26" s="502">
        <f t="shared" si="2"/>
        <v>0.35729148008827827</v>
      </c>
      <c r="L26" s="41"/>
    </row>
    <row r="27" spans="2:12" s="2" customFormat="1">
      <c r="B27" s="183"/>
      <c r="C27" s="100"/>
      <c r="D27" s="38"/>
      <c r="E27" s="38"/>
      <c r="F27" s="38"/>
      <c r="G27" s="44"/>
      <c r="H27" s="44"/>
      <c r="I27" s="44"/>
      <c r="J27" s="44"/>
      <c r="K27" s="44"/>
      <c r="L27" s="41"/>
    </row>
    <row r="28" spans="2:12" s="2" customFormat="1">
      <c r="B28" s="183" t="s">
        <v>313</v>
      </c>
      <c r="C28" s="100"/>
      <c r="D28" s="500">
        <f>IF(ISBLANK(D33),0,D33-D26)</f>
        <v>0</v>
      </c>
      <c r="E28" s="501">
        <f t="shared" ref="E28:K28" si="3">IF(ISBLANK(E33),0,E33-E26)</f>
        <v>0.22702199363200748</v>
      </c>
      <c r="F28" s="501">
        <f t="shared" si="3"/>
        <v>3.0073169999980109E-3</v>
      </c>
      <c r="G28" s="501">
        <f t="shared" si="3"/>
        <v>3.4615140378292608E-2</v>
      </c>
      <c r="H28" s="501">
        <f t="shared" si="3"/>
        <v>2.8421709430404007E-14</v>
      </c>
      <c r="I28" s="501">
        <f t="shared" si="3"/>
        <v>2.8421709430404007E-14</v>
      </c>
      <c r="J28" s="501">
        <f t="shared" si="3"/>
        <v>5.6843418860808015E-14</v>
      </c>
      <c r="K28" s="909">
        <f t="shared" si="3"/>
        <v>0</v>
      </c>
      <c r="L28" s="41"/>
    </row>
    <row r="29" spans="2:12" s="2" customFormat="1">
      <c r="B29" s="183"/>
      <c r="C29" s="100"/>
      <c r="D29" s="21"/>
      <c r="E29" s="21"/>
      <c r="F29" s="21"/>
      <c r="G29" s="21"/>
      <c r="H29" s="21"/>
      <c r="I29" s="21"/>
      <c r="J29" s="21"/>
      <c r="K29" s="21"/>
      <c r="L29" s="41"/>
    </row>
    <row r="30" spans="2:12" s="2" customFormat="1">
      <c r="B30" s="183"/>
      <c r="C30" s="100"/>
      <c r="D30" s="21"/>
      <c r="E30" s="21"/>
      <c r="F30" s="21"/>
      <c r="G30" s="21"/>
      <c r="H30" s="21"/>
      <c r="I30" s="21"/>
      <c r="J30" s="21"/>
      <c r="K30" s="21"/>
      <c r="L30" s="41"/>
    </row>
    <row r="31" spans="2:12" s="2" customFormat="1">
      <c r="B31" s="613" t="s">
        <v>314</v>
      </c>
      <c r="C31" s="110"/>
      <c r="D31" s="60"/>
      <c r="E31" s="60"/>
      <c r="F31" s="60"/>
      <c r="G31" s="60"/>
      <c r="H31" s="60"/>
      <c r="I31" s="60"/>
      <c r="J31" s="60"/>
      <c r="K31" s="60"/>
      <c r="L31" s="227"/>
    </row>
    <row r="32" spans="2:12" s="2" customFormat="1">
      <c r="B32" s="183"/>
      <c r="C32" s="100"/>
      <c r="D32" s="21"/>
      <c r="E32" s="21"/>
      <c r="F32" s="21"/>
      <c r="G32" s="21"/>
      <c r="H32" s="21"/>
      <c r="I32" s="21"/>
      <c r="J32" s="21"/>
      <c r="K32" s="21"/>
      <c r="L32" s="41"/>
    </row>
    <row r="33" spans="2:12" s="2" customFormat="1">
      <c r="B33" s="614" t="s">
        <v>315</v>
      </c>
      <c r="C33" s="100"/>
      <c r="D33" s="526">
        <v>132.55408800000001</v>
      </c>
      <c r="E33" s="526">
        <v>158.93119376123869</v>
      </c>
      <c r="F33" s="526">
        <v>148.20141409124065</v>
      </c>
      <c r="G33" s="526">
        <v>158.46346035918404</v>
      </c>
      <c r="H33" s="526">
        <v>164.43724584237683</v>
      </c>
      <c r="I33" s="526">
        <v>193.15998349154401</v>
      </c>
      <c r="J33" s="526">
        <v>303.11687386684218</v>
      </c>
      <c r="K33" s="528"/>
      <c r="L33" s="41"/>
    </row>
    <row r="34" spans="2:12" s="2" customFormat="1">
      <c r="B34" s="94"/>
      <c r="C34" s="98"/>
      <c r="L34" s="41"/>
    </row>
    <row r="35" spans="2:12" s="2" customFormat="1">
      <c r="B35" s="317" t="s">
        <v>316</v>
      </c>
      <c r="C35" s="98"/>
      <c r="L35" s="41"/>
    </row>
    <row r="36" spans="2:12" s="2" customFormat="1">
      <c r="B36" s="715" t="s">
        <v>317</v>
      </c>
      <c r="C36" s="112" t="s">
        <v>297</v>
      </c>
      <c r="D36" s="947">
        <v>0</v>
      </c>
      <c r="E36" s="947">
        <v>0</v>
      </c>
      <c r="F36" s="947">
        <v>0</v>
      </c>
      <c r="G36" s="947">
        <v>0</v>
      </c>
      <c r="H36" s="947">
        <v>0</v>
      </c>
      <c r="I36" s="947">
        <v>0</v>
      </c>
      <c r="J36" s="947">
        <v>0</v>
      </c>
      <c r="K36" s="503"/>
      <c r="L36" s="41"/>
    </row>
    <row r="37" spans="2:12" s="2" customFormat="1">
      <c r="B37" s="715" t="s">
        <v>318</v>
      </c>
      <c r="C37" s="112" t="s">
        <v>297</v>
      </c>
      <c r="D37" s="947">
        <v>0</v>
      </c>
      <c r="E37" s="947">
        <v>0</v>
      </c>
      <c r="F37" s="947">
        <v>0</v>
      </c>
      <c r="G37" s="947">
        <v>0</v>
      </c>
      <c r="H37" s="947">
        <v>0</v>
      </c>
      <c r="I37" s="947">
        <v>0</v>
      </c>
      <c r="J37" s="947">
        <v>0.29482848</v>
      </c>
      <c r="K37" s="504"/>
      <c r="L37" s="41"/>
    </row>
    <row r="38" spans="2:12" s="2" customFormat="1">
      <c r="B38" s="715" t="s">
        <v>319</v>
      </c>
      <c r="C38" s="112" t="s">
        <v>297</v>
      </c>
      <c r="D38" s="947">
        <v>0</v>
      </c>
      <c r="E38" s="947">
        <v>0</v>
      </c>
      <c r="F38" s="947">
        <v>0</v>
      </c>
      <c r="G38" s="947">
        <v>0</v>
      </c>
      <c r="H38" s="947">
        <v>0</v>
      </c>
      <c r="I38" s="947">
        <v>0</v>
      </c>
      <c r="J38" s="947">
        <v>0.105</v>
      </c>
      <c r="K38" s="504"/>
      <c r="L38" s="41"/>
    </row>
    <row r="39" spans="2:12" s="2" customFormat="1">
      <c r="B39" s="715" t="s">
        <v>320</v>
      </c>
      <c r="C39" s="112" t="s">
        <v>297</v>
      </c>
      <c r="D39" s="947">
        <v>0</v>
      </c>
      <c r="E39" s="947">
        <v>0</v>
      </c>
      <c r="F39" s="947">
        <v>0</v>
      </c>
      <c r="G39" s="947">
        <v>0</v>
      </c>
      <c r="H39" s="947">
        <v>0</v>
      </c>
      <c r="I39" s="947">
        <v>0</v>
      </c>
      <c r="J39" s="947">
        <v>0</v>
      </c>
      <c r="K39" s="504"/>
      <c r="L39" s="41"/>
    </row>
    <row r="40" spans="2:12" s="2" customFormat="1">
      <c r="B40" s="715" t="s">
        <v>321</v>
      </c>
      <c r="C40" s="112" t="s">
        <v>297</v>
      </c>
      <c r="D40" s="947">
        <v>0</v>
      </c>
      <c r="E40" s="947">
        <v>0</v>
      </c>
      <c r="F40" s="947">
        <v>0</v>
      </c>
      <c r="G40" s="947">
        <v>0</v>
      </c>
      <c r="H40" s="947">
        <v>0</v>
      </c>
      <c r="I40" s="947">
        <v>0</v>
      </c>
      <c r="J40" s="947">
        <v>0</v>
      </c>
      <c r="K40" s="504"/>
      <c r="L40" s="41"/>
    </row>
    <row r="41" spans="2:12" s="2" customFormat="1">
      <c r="B41" s="715" t="s">
        <v>322</v>
      </c>
      <c r="C41" s="112" t="s">
        <v>297</v>
      </c>
      <c r="D41" s="947">
        <v>0</v>
      </c>
      <c r="E41" s="947">
        <v>0</v>
      </c>
      <c r="F41" s="947">
        <v>0</v>
      </c>
      <c r="G41" s="947">
        <v>0</v>
      </c>
      <c r="H41" s="947">
        <v>0</v>
      </c>
      <c r="I41" s="947">
        <v>0</v>
      </c>
      <c r="J41" s="947">
        <v>0</v>
      </c>
      <c r="K41" s="504"/>
      <c r="L41" s="41"/>
    </row>
    <row r="42" spans="2:12" s="2" customFormat="1">
      <c r="B42" s="715" t="s">
        <v>323</v>
      </c>
      <c r="C42" s="112" t="s">
        <v>297</v>
      </c>
      <c r="D42" s="947">
        <v>0</v>
      </c>
      <c r="E42" s="947">
        <v>0</v>
      </c>
      <c r="F42" s="947">
        <v>0</v>
      </c>
      <c r="G42" s="947">
        <v>0</v>
      </c>
      <c r="H42" s="947">
        <v>0</v>
      </c>
      <c r="I42" s="947">
        <v>0</v>
      </c>
      <c r="J42" s="947">
        <v>0</v>
      </c>
      <c r="K42" s="504"/>
      <c r="L42" s="41"/>
    </row>
    <row r="43" spans="2:12" s="2" customFormat="1">
      <c r="B43" s="716" t="s">
        <v>324</v>
      </c>
      <c r="C43" s="112" t="s">
        <v>297</v>
      </c>
      <c r="D43" s="947">
        <v>0</v>
      </c>
      <c r="E43" s="947">
        <v>0</v>
      </c>
      <c r="F43" s="947">
        <v>0</v>
      </c>
      <c r="G43" s="947">
        <v>0</v>
      </c>
      <c r="H43" s="947">
        <v>0</v>
      </c>
      <c r="I43" s="947">
        <v>0</v>
      </c>
      <c r="J43" s="947">
        <v>0</v>
      </c>
      <c r="K43" s="507"/>
      <c r="L43" s="41"/>
    </row>
    <row r="44" spans="2:12" s="2" customFormat="1">
      <c r="B44" s="954" t="s">
        <v>325</v>
      </c>
      <c r="C44" s="112" t="s">
        <v>297</v>
      </c>
      <c r="D44" s="505"/>
      <c r="E44" s="506"/>
      <c r="F44" s="506"/>
      <c r="G44" s="506"/>
      <c r="H44" s="506"/>
      <c r="I44" s="506"/>
      <c r="J44" s="506"/>
      <c r="K44" s="507"/>
      <c r="L44" s="41"/>
    </row>
    <row r="45" spans="2:12" s="2" customFormat="1">
      <c r="B45" s="317" t="s">
        <v>326</v>
      </c>
      <c r="C45" s="112" t="s">
        <v>297</v>
      </c>
      <c r="D45" s="764">
        <f>SUM(D36:D44)</f>
        <v>0</v>
      </c>
      <c r="E45" s="910">
        <f t="shared" ref="E45:K45" si="4">SUM(E36:E44)</f>
        <v>0</v>
      </c>
      <c r="F45" s="910">
        <f t="shared" si="4"/>
        <v>0</v>
      </c>
      <c r="G45" s="910">
        <f t="shared" si="4"/>
        <v>0</v>
      </c>
      <c r="H45" s="910">
        <f t="shared" si="4"/>
        <v>0</v>
      </c>
      <c r="I45" s="910">
        <f t="shared" si="4"/>
        <v>0</v>
      </c>
      <c r="J45" s="910">
        <f t="shared" si="4"/>
        <v>0.39982847999999999</v>
      </c>
      <c r="K45" s="911">
        <f t="shared" si="4"/>
        <v>0</v>
      </c>
      <c r="L45" s="41"/>
    </row>
    <row r="46" spans="2:12" s="2" customFormat="1">
      <c r="B46" s="94"/>
      <c r="C46" s="98"/>
      <c r="L46" s="41"/>
    </row>
    <row r="47" spans="2:12" s="2" customFormat="1">
      <c r="B47" s="317" t="s">
        <v>327</v>
      </c>
      <c r="C47" s="98"/>
      <c r="L47" s="37"/>
    </row>
    <row r="48" spans="2:12" s="2" customFormat="1">
      <c r="B48" s="954" t="s">
        <v>556</v>
      </c>
      <c r="C48" s="112" t="s">
        <v>297</v>
      </c>
      <c r="D48" s="511">
        <v>194.24467543000003</v>
      </c>
      <c r="E48" s="511">
        <v>194.72136862000002</v>
      </c>
      <c r="F48" s="511">
        <v>206.6733179947</v>
      </c>
      <c r="G48" s="511">
        <v>221.95285319320595</v>
      </c>
      <c r="H48" s="511">
        <v>239.61046294499999</v>
      </c>
      <c r="I48" s="511">
        <v>250.02657620999997</v>
      </c>
      <c r="J48" s="952">
        <v>0</v>
      </c>
      <c r="K48" s="512"/>
      <c r="L48" s="41"/>
    </row>
    <row r="49" spans="2:12" s="2" customFormat="1">
      <c r="B49" s="958" t="s">
        <v>557</v>
      </c>
      <c r="C49" s="112" t="s">
        <v>297</v>
      </c>
      <c r="D49" s="511">
        <v>894.05549903793781</v>
      </c>
      <c r="E49" s="511">
        <v>866.02100475519615</v>
      </c>
      <c r="F49" s="511">
        <v>938.19322782177449</v>
      </c>
      <c r="G49" s="511">
        <v>1122.5917528196167</v>
      </c>
      <c r="H49" s="511">
        <v>1038.1529346583559</v>
      </c>
      <c r="I49" s="511">
        <v>1208.2993059223447</v>
      </c>
      <c r="J49" s="952">
        <v>0</v>
      </c>
      <c r="K49" s="514"/>
      <c r="L49" s="41"/>
    </row>
    <row r="50" spans="2:12" s="2" customFormat="1">
      <c r="B50" s="958" t="s">
        <v>558</v>
      </c>
      <c r="C50" s="112" t="s">
        <v>297</v>
      </c>
      <c r="D50" s="511">
        <v>2.4540000000000002</v>
      </c>
      <c r="E50" s="511">
        <v>3.2975085399999999</v>
      </c>
      <c r="F50" s="511">
        <v>4.2297212100000001</v>
      </c>
      <c r="G50" s="511">
        <v>5.1426949200000003</v>
      </c>
      <c r="H50" s="511">
        <v>6.1122768600000006</v>
      </c>
      <c r="I50" s="511">
        <v>3.1719674699999998</v>
      </c>
      <c r="J50" s="952">
        <v>0</v>
      </c>
      <c r="K50" s="514"/>
      <c r="L50" s="41"/>
    </row>
    <row r="51" spans="2:12" s="2" customFormat="1">
      <c r="B51" s="958" t="s">
        <v>559</v>
      </c>
      <c r="C51" s="112" t="s">
        <v>297</v>
      </c>
      <c r="D51" s="511">
        <v>54.377000000000002</v>
      </c>
      <c r="E51" s="511">
        <v>57.355008439999999</v>
      </c>
      <c r="F51" s="511">
        <v>57.20784089</v>
      </c>
      <c r="G51" s="511">
        <v>60.156126310000005</v>
      </c>
      <c r="H51" s="511">
        <v>58.253474070000003</v>
      </c>
      <c r="I51" s="511">
        <v>0.25733875000000744</v>
      </c>
      <c r="J51" s="952">
        <v>0</v>
      </c>
      <c r="K51" s="514"/>
      <c r="L51" s="41"/>
    </row>
    <row r="52" spans="2:12" s="2" customFormat="1">
      <c r="B52" s="958" t="s">
        <v>560</v>
      </c>
      <c r="C52" s="112" t="s">
        <v>297</v>
      </c>
      <c r="D52" s="511">
        <v>26.494842999999999</v>
      </c>
      <c r="E52" s="511">
        <v>33.069014490000001</v>
      </c>
      <c r="F52" s="511">
        <v>35.572564769999957</v>
      </c>
      <c r="G52" s="511">
        <v>46.045429460000001</v>
      </c>
      <c r="H52" s="511">
        <v>43.21994265</v>
      </c>
      <c r="I52" s="952">
        <v>0</v>
      </c>
      <c r="J52" s="952">
        <v>0</v>
      </c>
      <c r="K52" s="514"/>
      <c r="L52" s="41"/>
    </row>
    <row r="53" spans="2:12" s="2" customFormat="1">
      <c r="B53" s="958" t="s">
        <v>561</v>
      </c>
      <c r="C53" s="112" t="s">
        <v>297</v>
      </c>
      <c r="D53" s="511">
        <v>-0.35000000000001696</v>
      </c>
      <c r="E53" s="511">
        <v>26.091466734488659</v>
      </c>
      <c r="F53" s="511">
        <v>-2.2041953099999998</v>
      </c>
      <c r="G53" s="511">
        <v>23.038111000000001</v>
      </c>
      <c r="H53" s="511">
        <v>-22.75</v>
      </c>
      <c r="I53" s="511">
        <v>1.3071371799999998</v>
      </c>
      <c r="J53" s="952">
        <v>0</v>
      </c>
      <c r="K53" s="514"/>
      <c r="L53" s="41"/>
    </row>
    <row r="54" spans="2:12" s="2" customFormat="1">
      <c r="B54" s="958" t="s">
        <v>562</v>
      </c>
      <c r="C54" s="112" t="s">
        <v>297</v>
      </c>
      <c r="D54" s="511">
        <v>2089.5659999999998</v>
      </c>
      <c r="E54" s="511">
        <v>2376.2289194499999</v>
      </c>
      <c r="F54" s="511">
        <v>2592.6842391499995</v>
      </c>
      <c r="G54" s="511">
        <v>2800.3277643199999</v>
      </c>
      <c r="H54" s="511">
        <v>2627.723</v>
      </c>
      <c r="I54" s="511">
        <v>2749.12146764</v>
      </c>
      <c r="J54" s="952">
        <v>0</v>
      </c>
      <c r="K54" s="514"/>
      <c r="L54" s="41"/>
    </row>
    <row r="55" spans="2:12" s="2" customFormat="1">
      <c r="B55" s="958" t="s">
        <v>563</v>
      </c>
      <c r="C55" s="112" t="s">
        <v>297</v>
      </c>
      <c r="D55" s="952">
        <v>0</v>
      </c>
      <c r="E55" s="511">
        <v>-2.3841147999999999</v>
      </c>
      <c r="F55" s="511">
        <v>-1.73506575</v>
      </c>
      <c r="G55" s="511">
        <v>0.68208244988399969</v>
      </c>
      <c r="H55" s="511">
        <v>0.14558105500000001</v>
      </c>
      <c r="I55" s="511">
        <v>-1.1064341599998857</v>
      </c>
      <c r="J55" s="952">
        <v>0</v>
      </c>
      <c r="K55" s="514"/>
      <c r="L55" s="41"/>
    </row>
    <row r="56" spans="2:12" s="2" customFormat="1">
      <c r="B56" s="958" t="s">
        <v>564</v>
      </c>
      <c r="C56" s="112" t="s">
        <v>297</v>
      </c>
      <c r="D56" s="952">
        <v>0</v>
      </c>
      <c r="E56" s="952">
        <v>0</v>
      </c>
      <c r="F56" s="952">
        <v>0</v>
      </c>
      <c r="G56" s="952">
        <v>0</v>
      </c>
      <c r="H56" s="952">
        <v>0</v>
      </c>
      <c r="I56" s="511">
        <v>-1052.2202494200001</v>
      </c>
      <c r="J56" s="952">
        <v>0</v>
      </c>
      <c r="K56" s="514"/>
      <c r="L56" s="41"/>
    </row>
    <row r="57" spans="2:12" s="2" customFormat="1">
      <c r="B57" s="958" t="s">
        <v>565</v>
      </c>
      <c r="C57" s="112" t="s">
        <v>297</v>
      </c>
      <c r="D57" s="952">
        <v>0</v>
      </c>
      <c r="E57" s="952">
        <v>0</v>
      </c>
      <c r="F57" s="952">
        <v>0</v>
      </c>
      <c r="G57" s="952">
        <v>0</v>
      </c>
      <c r="H57" s="952">
        <v>0</v>
      </c>
      <c r="I57" s="952">
        <v>0</v>
      </c>
      <c r="J57" s="511">
        <v>1323.5082755858537</v>
      </c>
      <c r="K57" s="514"/>
      <c r="L57" s="41"/>
    </row>
    <row r="58" spans="2:12" s="2" customFormat="1">
      <c r="B58" s="958" t="s">
        <v>566</v>
      </c>
      <c r="C58" s="112" t="s">
        <v>297</v>
      </c>
      <c r="D58" s="952">
        <v>0</v>
      </c>
      <c r="E58" s="952">
        <v>0</v>
      </c>
      <c r="F58" s="952">
        <v>0</v>
      </c>
      <c r="G58" s="952">
        <v>0</v>
      </c>
      <c r="H58" s="952">
        <v>0</v>
      </c>
      <c r="I58" s="952">
        <v>0</v>
      </c>
      <c r="J58" s="511">
        <v>-14.14</v>
      </c>
      <c r="K58" s="514"/>
      <c r="L58" s="41"/>
    </row>
    <row r="59" spans="2:12" s="2" customFormat="1">
      <c r="B59" s="958" t="s">
        <v>567</v>
      </c>
      <c r="C59" s="112" t="s">
        <v>297</v>
      </c>
      <c r="D59" s="952">
        <v>0</v>
      </c>
      <c r="E59" s="952">
        <v>0</v>
      </c>
      <c r="F59" s="952">
        <v>0</v>
      </c>
      <c r="G59" s="952">
        <v>0</v>
      </c>
      <c r="H59" s="952">
        <v>0</v>
      </c>
      <c r="I59" s="952">
        <v>0</v>
      </c>
      <c r="J59" s="511">
        <v>-6</v>
      </c>
      <c r="K59" s="514"/>
      <c r="L59" s="41"/>
    </row>
    <row r="60" spans="2:12" s="2" customFormat="1">
      <c r="B60" s="958" t="s">
        <v>568</v>
      </c>
      <c r="C60" s="112" t="s">
        <v>297</v>
      </c>
      <c r="D60" s="952">
        <v>0</v>
      </c>
      <c r="E60" s="952">
        <v>0</v>
      </c>
      <c r="F60" s="952">
        <v>0</v>
      </c>
      <c r="G60" s="952">
        <v>0</v>
      </c>
      <c r="H60" s="952">
        <v>0</v>
      </c>
      <c r="I60" s="952">
        <v>0</v>
      </c>
      <c r="J60" s="511">
        <v>0.46400000000000002</v>
      </c>
      <c r="K60" s="514"/>
      <c r="L60" s="41"/>
    </row>
    <row r="61" spans="2:12" s="2" customFormat="1">
      <c r="B61" s="958" t="s">
        <v>569</v>
      </c>
      <c r="C61" s="112" t="s">
        <v>297</v>
      </c>
      <c r="D61" s="952">
        <v>0</v>
      </c>
      <c r="E61" s="952">
        <v>0</v>
      </c>
      <c r="F61" s="952">
        <v>0</v>
      </c>
      <c r="G61" s="952">
        <v>0</v>
      </c>
      <c r="H61" s="952">
        <v>0</v>
      </c>
      <c r="I61" s="952">
        <v>0</v>
      </c>
      <c r="J61" s="511">
        <v>41.132570919999672</v>
      </c>
      <c r="K61" s="514"/>
      <c r="L61" s="41"/>
    </row>
    <row r="62" spans="2:12" s="2" customFormat="1">
      <c r="B62" s="958" t="s">
        <v>570</v>
      </c>
      <c r="C62" s="112" t="s">
        <v>297</v>
      </c>
      <c r="D62" s="952">
        <v>-0.39800000000000002</v>
      </c>
      <c r="E62" s="952">
        <v>-0.33142400000003269</v>
      </c>
      <c r="F62" s="952">
        <v>0.17697738999999979</v>
      </c>
      <c r="G62" s="952">
        <v>0.59937019000000002</v>
      </c>
      <c r="H62" s="952">
        <v>3.0950819192679244</v>
      </c>
      <c r="I62" s="952">
        <v>0.63</v>
      </c>
      <c r="J62" s="511">
        <v>2.1</v>
      </c>
      <c r="K62" s="514"/>
      <c r="L62" s="41"/>
    </row>
    <row r="63" spans="2:12" s="2" customFormat="1">
      <c r="B63" s="958" t="s">
        <v>325</v>
      </c>
      <c r="C63" s="112" t="s">
        <v>297</v>
      </c>
      <c r="D63" s="912"/>
      <c r="E63" s="912"/>
      <c r="F63" s="912"/>
      <c r="G63" s="912"/>
      <c r="H63" s="912"/>
      <c r="I63" s="912"/>
      <c r="J63" s="912"/>
      <c r="K63" s="515"/>
      <c r="L63" s="41"/>
    </row>
    <row r="64" spans="2:12" s="2" customFormat="1">
      <c r="B64" s="614" t="s">
        <v>328</v>
      </c>
      <c r="C64" s="112" t="s">
        <v>297</v>
      </c>
      <c r="D64" s="500">
        <f t="shared" ref="D64:K64" si="5">SUM(D48:D63)</f>
        <v>3260.4440174679376</v>
      </c>
      <c r="E64" s="501">
        <f t="shared" si="5"/>
        <v>3554.0687522296848</v>
      </c>
      <c r="F64" s="501">
        <f t="shared" si="5"/>
        <v>3830.7986281664739</v>
      </c>
      <c r="G64" s="501">
        <f t="shared" si="5"/>
        <v>4280.5361846627056</v>
      </c>
      <c r="H64" s="501">
        <f t="shared" si="5"/>
        <v>3993.5627541576241</v>
      </c>
      <c r="I64" s="501">
        <f t="shared" si="5"/>
        <v>3159.4871095923454</v>
      </c>
      <c r="J64" s="913">
        <f t="shared" si="5"/>
        <v>1347.064846505853</v>
      </c>
      <c r="K64" s="909">
        <f t="shared" si="5"/>
        <v>0</v>
      </c>
      <c r="L64" s="41"/>
    </row>
    <row r="65" spans="1:12" s="2" customFormat="1">
      <c r="B65" s="183"/>
      <c r="C65" s="100"/>
      <c r="D65" s="39"/>
      <c r="E65" s="39"/>
      <c r="F65" s="39"/>
      <c r="G65" s="39"/>
      <c r="H65" s="39"/>
      <c r="I65" s="39"/>
      <c r="J65" s="39"/>
      <c r="K65" s="39"/>
      <c r="L65" s="41"/>
    </row>
    <row r="66" spans="1:12" s="2" customFormat="1">
      <c r="B66" s="614" t="s">
        <v>329</v>
      </c>
      <c r="C66" s="112" t="s">
        <v>297</v>
      </c>
      <c r="D66" s="516">
        <f t="shared" ref="D66:K66" si="6">D33+D45+D64</f>
        <v>3392.9981054679374</v>
      </c>
      <c r="E66" s="517">
        <f t="shared" si="6"/>
        <v>3712.9999459909236</v>
      </c>
      <c r="F66" s="517">
        <f t="shared" si="6"/>
        <v>3979.0000422577145</v>
      </c>
      <c r="G66" s="517">
        <f t="shared" si="6"/>
        <v>4438.9996450218896</v>
      </c>
      <c r="H66" s="517">
        <f t="shared" si="6"/>
        <v>4158.0000000000009</v>
      </c>
      <c r="I66" s="517">
        <f t="shared" si="6"/>
        <v>3352.6470930838896</v>
      </c>
      <c r="J66" s="517">
        <f t="shared" si="6"/>
        <v>1650.5815488526951</v>
      </c>
      <c r="K66" s="518">
        <f t="shared" si="6"/>
        <v>0</v>
      </c>
      <c r="L66" s="41"/>
    </row>
    <row r="67" spans="1:12" s="2" customFormat="1">
      <c r="B67" s="614" t="s">
        <v>330</v>
      </c>
      <c r="C67" s="112" t="s">
        <v>297</v>
      </c>
      <c r="D67" s="519">
        <v>3393</v>
      </c>
      <c r="E67" s="519">
        <v>3713</v>
      </c>
      <c r="F67" s="519">
        <v>3979</v>
      </c>
      <c r="G67" s="519">
        <v>4439</v>
      </c>
      <c r="H67" s="519">
        <v>4158</v>
      </c>
      <c r="I67" s="519">
        <v>3352.7</v>
      </c>
      <c r="J67" s="519">
        <v>1650.5964902599999</v>
      </c>
      <c r="K67" s="520"/>
      <c r="L67" s="41"/>
    </row>
    <row r="68" spans="1:12" s="2" customFormat="1">
      <c r="B68" s="183" t="s">
        <v>331</v>
      </c>
      <c r="C68" s="100"/>
      <c r="D68" s="88" t="str">
        <f>IF(ABS(D66-D67)&lt;'RFPR cover'!$F$14,"OK","Error")</f>
        <v>OK</v>
      </c>
      <c r="E68" s="88" t="str">
        <f>IF(ABS(E66-E67)&lt;'RFPR cover'!$F$14,"OK","Error")</f>
        <v>OK</v>
      </c>
      <c r="F68" s="88" t="str">
        <f>IF(ABS(F66-F67)&lt;'RFPR cover'!$F$14,"OK","Error")</f>
        <v>OK</v>
      </c>
      <c r="G68" s="88" t="str">
        <f>IF(ABS(G66-G67)&lt;'RFPR cover'!$F$14,"OK","Error")</f>
        <v>OK</v>
      </c>
      <c r="H68" s="88" t="str">
        <f>IF(ABS(H66-H67)&lt;'RFPR cover'!$F$14,"OK","Error")</f>
        <v>OK</v>
      </c>
      <c r="I68" s="88" t="str">
        <f>IF(ABS(I66-I67)&lt;'RFPR cover'!$F$14,"OK","Error")</f>
        <v>OK</v>
      </c>
      <c r="J68" s="88" t="str">
        <f>IF(ABS(J66-J67)&lt;'RFPR cover'!$F$14,"OK","Error")</f>
        <v>OK</v>
      </c>
      <c r="K68" s="88" t="str">
        <f>IF(ABS(K66-K67)&lt;'RFPR cover'!$F$14,"OK","Error")</f>
        <v>OK</v>
      </c>
      <c r="L68" s="41"/>
    </row>
    <row r="69" spans="1:12" s="2" customFormat="1">
      <c r="B69" s="94"/>
      <c r="C69" s="100"/>
      <c r="D69" s="31"/>
      <c r="E69" s="31"/>
      <c r="F69" s="31"/>
      <c r="G69" s="31"/>
      <c r="H69" s="31"/>
      <c r="I69" s="31"/>
      <c r="J69" s="31"/>
      <c r="K69" s="31"/>
      <c r="L69" s="41"/>
    </row>
    <row r="70" spans="1:12" s="2" customFormat="1">
      <c r="B70" s="94"/>
      <c r="C70" s="98"/>
      <c r="L70" s="37"/>
    </row>
    <row r="71" spans="1:12" s="2" customFormat="1">
      <c r="A71" s="60"/>
      <c r="B71" s="619"/>
      <c r="C71" s="110"/>
      <c r="D71" s="60"/>
      <c r="E71" s="60"/>
      <c r="F71" s="60"/>
      <c r="G71" s="60"/>
      <c r="H71" s="60"/>
      <c r="I71" s="60"/>
      <c r="J71" s="60"/>
      <c r="K71" s="60"/>
      <c r="L71" s="226"/>
    </row>
  </sheetData>
  <sheetProtection algorithmName="SHA-512" hashValue="plifKwoJacCEkEvYgjb6fv6EfUNLl6846YcY8M6CCQwE2Qoms9yxf87IqhHFx9+omZvRkD5WEZ5PXtnoBf4qPw==" saltValue="Vv+PU3TRYZBDG7OdTPiGJA==" spinCount="100000" sheet="1" formatCells="0" formatColumns="0" formatRows="0" insertColumns="0" insertRows="0" insertHyperlinks="0" deleteColumns="0" deleteRows="0" sort="0" autoFilter="0" pivotTables="0"/>
  <conditionalFormatting sqref="D6:K6">
    <cfRule type="expression" dxfId="74" priority="12">
      <formula>AND(D$5="Actuals",E$5="Forecast")</formula>
    </cfRule>
  </conditionalFormatting>
  <conditionalFormatting sqref="D5:K5">
    <cfRule type="expression" dxfId="73" priority="5">
      <formula>AND(D$5="Actuals",E$5="Forecast")</formula>
    </cfRule>
  </conditionalFormatting>
  <conditionalFormatting sqref="D28:H28 D66:K68 D33:K33 D36:K45 D48:K64">
    <cfRule type="expression" dxfId="72" priority="4">
      <formula>D$5="Forecast"</formula>
    </cfRule>
  </conditionalFormatting>
  <conditionalFormatting sqref="I14:K15 I28:K28 K10:K13 I17:K18 K16 I26:K26 K19:K25">
    <cfRule type="expression" dxfId="71" priority="3">
      <formula>I$5="Forecast"</formula>
    </cfRule>
  </conditionalFormatting>
  <conditionalFormatting sqref="H14:H15 H17:H18 H26">
    <cfRule type="expression" dxfId="70" priority="2">
      <formula>H$5="Forecast"</formula>
    </cfRule>
  </conditionalFormatting>
  <conditionalFormatting sqref="G14:G15 G17:G18 G26">
    <cfRule type="expression" dxfId="69"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86"/>
  <sheetViews>
    <sheetView showGridLines="0" zoomScale="80" zoomScaleNormal="80" workbookViewId="0">
      <pane ySplit="6" topLeftCell="A55" activePane="bottomLeft" state="frozen"/>
      <selection activeCell="B75" sqref="A1:XFD1048576"/>
      <selection pane="bottomLeft" activeCell="F80" sqref="F80"/>
    </sheetView>
  </sheetViews>
  <sheetFormatPr defaultRowHeight="12.75"/>
  <cols>
    <col min="1" max="1" width="8.375" customWidth="1"/>
    <col min="2" max="2" width="74.5" customWidth="1"/>
    <col min="3" max="3" width="13.375" style="98" customWidth="1"/>
    <col min="4" max="11" width="11.125" customWidth="1"/>
    <col min="12" max="12" width="5" customWidth="1"/>
  </cols>
  <sheetData>
    <row r="1" spans="1:12" s="18" customFormat="1" ht="20.25">
      <c r="A1" s="856" t="s">
        <v>332</v>
      </c>
      <c r="B1" s="875"/>
      <c r="C1" s="229"/>
      <c r="D1" s="228"/>
      <c r="E1" s="228"/>
      <c r="F1" s="228"/>
      <c r="G1" s="228"/>
      <c r="H1" s="228"/>
      <c r="I1" s="228"/>
      <c r="J1" s="228"/>
      <c r="K1" s="228"/>
      <c r="L1" s="874"/>
    </row>
    <row r="2" spans="1:12" s="18" customFormat="1" ht="20.25">
      <c r="A2" s="725" t="str">
        <f>'RFPR cover'!C5</f>
        <v>NGET (SO)</v>
      </c>
      <c r="B2" s="720"/>
      <c r="C2" s="97"/>
      <c r="D2" s="16"/>
      <c r="E2" s="16"/>
      <c r="F2" s="16"/>
      <c r="G2" s="16"/>
      <c r="H2" s="16"/>
      <c r="I2" s="15"/>
      <c r="J2" s="15"/>
      <c r="K2" s="15"/>
      <c r="L2" s="93"/>
    </row>
    <row r="3" spans="1:12" s="18" customFormat="1" ht="20.25">
      <c r="A3" s="728">
        <f>'RFPR cover'!C7</f>
        <v>2020</v>
      </c>
      <c r="B3" s="735"/>
      <c r="C3" s="230"/>
      <c r="D3" s="214"/>
      <c r="E3" s="214"/>
      <c r="F3" s="214"/>
      <c r="G3" s="214"/>
      <c r="H3" s="214"/>
      <c r="I3" s="210"/>
      <c r="J3" s="210"/>
      <c r="K3" s="210"/>
      <c r="L3" s="215"/>
    </row>
    <row r="4" spans="1:12" s="2" customFormat="1" ht="12.75" customHeight="1">
      <c r="C4" s="98"/>
    </row>
    <row r="5" spans="1:12" s="2" customFormat="1">
      <c r="B5" s="3"/>
      <c r="C5" s="98"/>
      <c r="D5" s="313" t="str">
        <f>IF(D6&lt;='RFPR cover'!$C$7,"Actuals","N/A")</f>
        <v>Actuals</v>
      </c>
      <c r="E5" s="314" t="str">
        <f>IF(E6&lt;='RFPR cover'!$C$7,"Actuals","N/A")</f>
        <v>Actuals</v>
      </c>
      <c r="F5" s="314" t="str">
        <f>IF(F6&lt;='RFPR cover'!$C$7,"Actuals","N/A")</f>
        <v>Actuals</v>
      </c>
      <c r="G5" s="314" t="str">
        <f>IF(G6&lt;='RFPR cover'!$C$7,"Actuals","N/A")</f>
        <v>Actuals</v>
      </c>
      <c r="H5" s="314" t="str">
        <f>IF(H6&lt;='RFPR cover'!$C$7,"Actuals","N/A")</f>
        <v>Actuals</v>
      </c>
      <c r="I5" s="314" t="str">
        <f>IF(I6&lt;='RFPR cover'!$C$7,"Actuals","N/A")</f>
        <v>Actuals</v>
      </c>
      <c r="J5" s="314" t="str">
        <f>IF(J6&lt;='RFPR cover'!$C$7,"Actuals","N/A")</f>
        <v>Actuals</v>
      </c>
      <c r="K5" s="315" t="str">
        <f>IF(K6&lt;='RFPR cover'!$C$7,"Actuals","N/A")</f>
        <v>N/A</v>
      </c>
    </row>
    <row r="6" spans="1:12" s="2" customFormat="1">
      <c r="C6" s="98"/>
      <c r="D6" s="90">
        <f>'RFPR cover'!$C$13</f>
        <v>2014</v>
      </c>
      <c r="E6" s="91">
        <f>D6+1</f>
        <v>2015</v>
      </c>
      <c r="F6" s="91">
        <f t="shared" ref="F6:K6" si="0">E6+1</f>
        <v>2016</v>
      </c>
      <c r="G6" s="91">
        <f t="shared" si="0"/>
        <v>2017</v>
      </c>
      <c r="H6" s="91">
        <f t="shared" si="0"/>
        <v>2018</v>
      </c>
      <c r="I6" s="91">
        <f t="shared" si="0"/>
        <v>2019</v>
      </c>
      <c r="J6" s="91">
        <f t="shared" si="0"/>
        <v>2020</v>
      </c>
      <c r="K6" s="154">
        <f t="shared" si="0"/>
        <v>2021</v>
      </c>
    </row>
    <row r="7" spans="1:12" s="2" customFormat="1">
      <c r="C7" s="98"/>
    </row>
    <row r="8" spans="1:12" s="2" customFormat="1">
      <c r="B8" s="34" t="s">
        <v>333</v>
      </c>
      <c r="C8" s="99"/>
      <c r="D8" s="34"/>
      <c r="E8" s="34"/>
      <c r="F8" s="34"/>
      <c r="G8" s="34"/>
      <c r="H8" s="34"/>
      <c r="I8" s="34"/>
      <c r="J8" s="34"/>
      <c r="K8" s="34"/>
      <c r="L8" s="21"/>
    </row>
    <row r="9" spans="1:12" s="2" customFormat="1">
      <c r="B9" s="94" t="s">
        <v>334</v>
      </c>
      <c r="C9" s="112" t="s">
        <v>297</v>
      </c>
      <c r="D9" s="492">
        <v>1328</v>
      </c>
      <c r="E9" s="492">
        <v>1026</v>
      </c>
      <c r="F9" s="492">
        <v>1026</v>
      </c>
      <c r="G9" s="492">
        <v>932</v>
      </c>
      <c r="H9" s="492">
        <v>944</v>
      </c>
      <c r="I9" s="492">
        <v>853.84736449000002</v>
      </c>
      <c r="J9" s="492">
        <v>39</v>
      </c>
      <c r="K9" s="503"/>
    </row>
    <row r="10" spans="1:12" s="2" customFormat="1">
      <c r="B10" s="94" t="s">
        <v>335</v>
      </c>
      <c r="C10" s="112" t="s">
        <v>297</v>
      </c>
      <c r="D10" s="492">
        <v>53</v>
      </c>
      <c r="E10" s="492">
        <v>46</v>
      </c>
      <c r="F10" s="492">
        <v>58</v>
      </c>
      <c r="G10" s="492">
        <v>96</v>
      </c>
      <c r="H10" s="492">
        <v>56</v>
      </c>
      <c r="I10" s="492">
        <v>71.569213829999995</v>
      </c>
      <c r="J10" s="492">
        <v>53</v>
      </c>
      <c r="K10" s="504"/>
    </row>
    <row r="11" spans="1:12" s="2" customFormat="1" ht="29.25" customHeight="1">
      <c r="B11" s="95" t="s">
        <v>336</v>
      </c>
      <c r="C11" s="112" t="s">
        <v>297</v>
      </c>
      <c r="D11" s="760">
        <v>0</v>
      </c>
      <c r="E11" s="760">
        <v>0</v>
      </c>
      <c r="F11" s="760">
        <v>0</v>
      </c>
      <c r="G11" s="760">
        <v>0</v>
      </c>
      <c r="H11" s="760">
        <v>0</v>
      </c>
      <c r="I11" s="760">
        <v>0</v>
      </c>
      <c r="J11" s="760">
        <v>0</v>
      </c>
      <c r="K11" s="504"/>
    </row>
    <row r="12" spans="1:12" s="2" customFormat="1">
      <c r="B12" s="94" t="s">
        <v>337</v>
      </c>
      <c r="C12" s="112" t="s">
        <v>297</v>
      </c>
      <c r="D12" s="492">
        <v>-59.057000000000002</v>
      </c>
      <c r="E12" s="492">
        <v>-21.763999999999999</v>
      </c>
      <c r="F12" s="492">
        <v>-49.453136000000001</v>
      </c>
      <c r="G12" s="492">
        <v>-29.07275593</v>
      </c>
      <c r="H12" s="492">
        <v>-43.456791350000003</v>
      </c>
      <c r="I12" s="492">
        <v>-22.408193269999998</v>
      </c>
      <c r="J12" s="947">
        <v>0</v>
      </c>
      <c r="K12" s="504"/>
    </row>
    <row r="13" spans="1:12" s="2" customFormat="1">
      <c r="B13" s="94" t="s">
        <v>338</v>
      </c>
      <c r="C13" s="112" t="s">
        <v>297</v>
      </c>
      <c r="D13" s="492">
        <v>-119</v>
      </c>
      <c r="E13" s="492">
        <v>-94</v>
      </c>
      <c r="F13" s="492">
        <v>-91</v>
      </c>
      <c r="G13" s="492">
        <v>-84</v>
      </c>
      <c r="H13" s="492">
        <v>-90</v>
      </c>
      <c r="I13" s="492">
        <v>-71.909534980000018</v>
      </c>
      <c r="J13" s="492">
        <v>-0.86956524559999993</v>
      </c>
      <c r="K13" s="504"/>
    </row>
    <row r="14" spans="1:12" s="2" customFormat="1">
      <c r="B14" s="94" t="s">
        <v>339</v>
      </c>
      <c r="C14" s="112" t="s">
        <v>297</v>
      </c>
      <c r="D14" s="760">
        <v>0</v>
      </c>
      <c r="E14" s="760">
        <v>0</v>
      </c>
      <c r="F14" s="760">
        <v>0</v>
      </c>
      <c r="G14" s="760">
        <v>0</v>
      </c>
      <c r="H14" s="760">
        <v>0</v>
      </c>
      <c r="I14" s="760">
        <v>0</v>
      </c>
      <c r="J14" s="760">
        <v>0</v>
      </c>
      <c r="K14" s="523"/>
    </row>
    <row r="15" spans="1:12" s="2" customFormat="1">
      <c r="A15" s="3">
        <v>1</v>
      </c>
      <c r="B15" s="954" t="s">
        <v>340</v>
      </c>
      <c r="C15" s="112" t="s">
        <v>297</v>
      </c>
      <c r="D15" s="760">
        <v>0</v>
      </c>
      <c r="E15" s="760">
        <v>0</v>
      </c>
      <c r="F15" s="760">
        <v>0</v>
      </c>
      <c r="G15" s="760">
        <v>0</v>
      </c>
      <c r="H15" s="760">
        <v>0</v>
      </c>
      <c r="I15" s="760">
        <v>0</v>
      </c>
      <c r="J15" s="760">
        <v>0</v>
      </c>
      <c r="K15" s="503"/>
    </row>
    <row r="16" spans="1:12" s="2" customFormat="1">
      <c r="A16" s="3">
        <v>2</v>
      </c>
      <c r="B16" s="954" t="s">
        <v>340</v>
      </c>
      <c r="C16" s="112" t="s">
        <v>297</v>
      </c>
      <c r="D16" s="760">
        <v>0</v>
      </c>
      <c r="E16" s="760">
        <v>0</v>
      </c>
      <c r="F16" s="760">
        <v>0</v>
      </c>
      <c r="G16" s="760">
        <v>0</v>
      </c>
      <c r="H16" s="760">
        <v>0</v>
      </c>
      <c r="I16" s="760">
        <v>0</v>
      </c>
      <c r="J16" s="760">
        <v>0</v>
      </c>
      <c r="K16" s="504"/>
    </row>
    <row r="17" spans="1:11" s="2" customFormat="1">
      <c r="A17" s="3">
        <v>3</v>
      </c>
      <c r="B17" s="954" t="s">
        <v>340</v>
      </c>
      <c r="C17" s="112" t="s">
        <v>297</v>
      </c>
      <c r="D17" s="760">
        <v>0</v>
      </c>
      <c r="E17" s="760">
        <v>0</v>
      </c>
      <c r="F17" s="760">
        <v>0</v>
      </c>
      <c r="G17" s="760">
        <v>0</v>
      </c>
      <c r="H17" s="760">
        <v>0</v>
      </c>
      <c r="I17" s="760">
        <v>0</v>
      </c>
      <c r="J17" s="760">
        <v>0</v>
      </c>
      <c r="K17" s="504"/>
    </row>
    <row r="18" spans="1:11" s="2" customFormat="1">
      <c r="B18" s="5" t="s">
        <v>341</v>
      </c>
      <c r="C18" s="112" t="s">
        <v>297</v>
      </c>
      <c r="D18" s="524">
        <f>SUM(D9:D17)</f>
        <v>1202.943</v>
      </c>
      <c r="E18" s="525">
        <f t="shared" ref="E18:K18" si="1">SUM(E9:E17)</f>
        <v>956.2360000000001</v>
      </c>
      <c r="F18" s="525">
        <f t="shared" si="1"/>
        <v>943.54686399999991</v>
      </c>
      <c r="G18" s="525">
        <f t="shared" si="1"/>
        <v>914.92724407000003</v>
      </c>
      <c r="H18" s="525">
        <f t="shared" si="1"/>
        <v>866.54320865</v>
      </c>
      <c r="I18" s="525">
        <f t="shared" si="1"/>
        <v>831.09885007000003</v>
      </c>
      <c r="J18" s="525">
        <f>SUM(J9:J17)</f>
        <v>91.1304347544</v>
      </c>
      <c r="K18" s="914">
        <f t="shared" si="1"/>
        <v>0</v>
      </c>
    </row>
    <row r="19" spans="1:11" s="2" customFormat="1">
      <c r="B19" s="94" t="s">
        <v>342</v>
      </c>
      <c r="C19" s="112" t="s">
        <v>297</v>
      </c>
      <c r="D19" s="526">
        <v>2375</v>
      </c>
      <c r="E19" s="526">
        <v>2529</v>
      </c>
      <c r="F19" s="526">
        <v>2818</v>
      </c>
      <c r="G19" s="526">
        <v>3093</v>
      </c>
      <c r="H19" s="526">
        <v>3125</v>
      </c>
      <c r="I19" s="526">
        <v>2605</v>
      </c>
      <c r="J19" s="526">
        <v>1514.7613691099998</v>
      </c>
      <c r="K19" s="528"/>
    </row>
    <row r="20" spans="1:11" s="2" customFormat="1">
      <c r="A20" s="3">
        <v>1</v>
      </c>
      <c r="B20" s="954" t="s">
        <v>340</v>
      </c>
      <c r="C20" s="112" t="s">
        <v>297</v>
      </c>
      <c r="D20" s="492"/>
      <c r="E20" s="493"/>
      <c r="F20" s="493"/>
      <c r="G20" s="493"/>
      <c r="H20" s="493"/>
      <c r="I20" s="493"/>
      <c r="J20" s="493"/>
      <c r="K20" s="503"/>
    </row>
    <row r="21" spans="1:11" s="2" customFormat="1">
      <c r="A21" s="3">
        <v>2</v>
      </c>
      <c r="B21" s="954" t="s">
        <v>340</v>
      </c>
      <c r="C21" s="112" t="s">
        <v>297</v>
      </c>
      <c r="D21" s="494"/>
      <c r="E21" s="495"/>
      <c r="F21" s="495"/>
      <c r="G21" s="495"/>
      <c r="H21" s="495"/>
      <c r="I21" s="495"/>
      <c r="J21" s="495"/>
      <c r="K21" s="504"/>
    </row>
    <row r="22" spans="1:11" s="2" customFormat="1">
      <c r="A22" s="3">
        <v>3</v>
      </c>
      <c r="B22" s="954" t="s">
        <v>340</v>
      </c>
      <c r="C22" s="112" t="s">
        <v>297</v>
      </c>
      <c r="D22" s="494"/>
      <c r="E22" s="495"/>
      <c r="F22" s="495"/>
      <c r="G22" s="495"/>
      <c r="H22" s="495"/>
      <c r="I22" s="495"/>
      <c r="J22" s="495"/>
      <c r="K22" s="504"/>
    </row>
    <row r="23" spans="1:11" s="2" customFormat="1">
      <c r="B23" s="5" t="s">
        <v>343</v>
      </c>
      <c r="C23" s="112" t="s">
        <v>297</v>
      </c>
      <c r="D23" s="508">
        <f>SUM(D18:D22)</f>
        <v>3577.9430000000002</v>
      </c>
      <c r="E23" s="509">
        <f t="shared" ref="E23:K23" si="2">SUM(E18:E22)</f>
        <v>3485.2359999999999</v>
      </c>
      <c r="F23" s="509">
        <f t="shared" si="2"/>
        <v>3761.5468639999999</v>
      </c>
      <c r="G23" s="509">
        <f t="shared" si="2"/>
        <v>4007.9272440700001</v>
      </c>
      <c r="H23" s="509">
        <f t="shared" si="2"/>
        <v>3991.54320865</v>
      </c>
      <c r="I23" s="509">
        <f t="shared" si="2"/>
        <v>3436.09885007</v>
      </c>
      <c r="J23" s="509">
        <f t="shared" si="2"/>
        <v>1605.8918038643999</v>
      </c>
      <c r="K23" s="911">
        <f t="shared" si="2"/>
        <v>0</v>
      </c>
    </row>
    <row r="24" spans="1:11" s="2" customFormat="1">
      <c r="C24" s="98"/>
      <c r="D24" s="35"/>
      <c r="E24" s="35"/>
      <c r="F24" s="35"/>
      <c r="G24" s="35"/>
      <c r="H24" s="35"/>
      <c r="I24" s="35"/>
      <c r="J24" s="35"/>
      <c r="K24" s="35"/>
    </row>
    <row r="25" spans="1:11" s="2" customFormat="1">
      <c r="B25" s="5" t="s">
        <v>344</v>
      </c>
      <c r="C25" s="112" t="s">
        <v>297</v>
      </c>
      <c r="D25" s="37"/>
    </row>
    <row r="26" spans="1:11" s="2" customFormat="1">
      <c r="A26" s="3">
        <v>1</v>
      </c>
      <c r="B26" s="954" t="s">
        <v>575</v>
      </c>
      <c r="C26" s="112" t="s">
        <v>297</v>
      </c>
      <c r="D26" s="492">
        <v>-1342.0001147099999</v>
      </c>
      <c r="E26" s="492">
        <v>-1522.99</v>
      </c>
      <c r="F26" s="492">
        <v>-1758</v>
      </c>
      <c r="G26" s="492">
        <v>-1805</v>
      </c>
      <c r="H26" s="492">
        <v>-1900</v>
      </c>
      <c r="I26" s="492">
        <v>-1159.2282216200001</v>
      </c>
      <c r="J26" s="760">
        <v>0</v>
      </c>
      <c r="K26" s="503"/>
    </row>
    <row r="27" spans="1:11" s="2" customFormat="1">
      <c r="A27" s="3">
        <v>2</v>
      </c>
      <c r="B27" s="954" t="s">
        <v>576</v>
      </c>
      <c r="C27" s="112" t="s">
        <v>297</v>
      </c>
      <c r="D27" s="492">
        <v>-1165.943</v>
      </c>
      <c r="E27" s="492">
        <v>-915.23599999999999</v>
      </c>
      <c r="F27" s="492">
        <v>-902.9973655</v>
      </c>
      <c r="G27" s="492">
        <v>-857.14896898000006</v>
      </c>
      <c r="H27" s="492">
        <v>-801.9889856499999</v>
      </c>
      <c r="I27" s="492">
        <v>-753.48178449</v>
      </c>
      <c r="J27" s="760">
        <v>0</v>
      </c>
      <c r="K27" s="504"/>
    </row>
    <row r="28" spans="1:11" s="2" customFormat="1">
      <c r="A28" s="3">
        <v>3</v>
      </c>
      <c r="B28" s="954" t="s">
        <v>577</v>
      </c>
      <c r="C28" s="112" t="s">
        <v>297</v>
      </c>
      <c r="D28" s="492">
        <v>-40</v>
      </c>
      <c r="E28" s="492">
        <v>-33.035000000000004</v>
      </c>
      <c r="F28" s="492">
        <v>-33.954715849999999</v>
      </c>
      <c r="G28" s="492">
        <v>-43.352027760704708</v>
      </c>
      <c r="H28" s="492">
        <v>-50</v>
      </c>
      <c r="I28" s="492">
        <v>-37.463480400000009</v>
      </c>
      <c r="J28" s="760">
        <v>0</v>
      </c>
      <c r="K28" s="504"/>
    </row>
    <row r="29" spans="1:11" s="2" customFormat="1">
      <c r="A29" s="3">
        <v>4</v>
      </c>
      <c r="B29" s="954" t="s">
        <v>578</v>
      </c>
      <c r="C29" s="112" t="s">
        <v>297</v>
      </c>
      <c r="D29" s="492">
        <v>-14</v>
      </c>
      <c r="E29" s="492">
        <v>-20</v>
      </c>
      <c r="F29" s="492">
        <v>-19</v>
      </c>
      <c r="G29" s="492">
        <v>-19.66806411</v>
      </c>
      <c r="H29" s="492">
        <v>-43.032375000000002</v>
      </c>
      <c r="I29" s="492">
        <v>-40.498503370000002</v>
      </c>
      <c r="J29" s="492">
        <v>-36.919394560000001</v>
      </c>
      <c r="K29" s="504"/>
    </row>
    <row r="30" spans="1:11" s="2" customFormat="1">
      <c r="A30" s="3">
        <v>5</v>
      </c>
      <c r="B30" s="954" t="s">
        <v>579</v>
      </c>
      <c r="C30" s="112" t="s">
        <v>297</v>
      </c>
      <c r="D30" s="492">
        <v>9.8406306647465893</v>
      </c>
      <c r="E30" s="492">
        <v>9.0871104814774224</v>
      </c>
      <c r="F30" s="492">
        <v>7.573436126510793</v>
      </c>
      <c r="G30" s="492">
        <v>9.7964099999999998</v>
      </c>
      <c r="H30" s="492">
        <v>10.247088597793622</v>
      </c>
      <c r="I30" s="492">
        <v>10.658742136785948</v>
      </c>
      <c r="J30" s="492">
        <v>11.977715268977747</v>
      </c>
      <c r="K30" s="504"/>
    </row>
    <row r="31" spans="1:11" s="2" customFormat="1">
      <c r="A31" s="3">
        <v>6</v>
      </c>
      <c r="B31" s="954" t="s">
        <v>580</v>
      </c>
      <c r="C31" s="112" t="s">
        <v>297</v>
      </c>
      <c r="D31" s="492">
        <v>-7.6168819999999995</v>
      </c>
      <c r="E31" s="492">
        <v>2.976362</v>
      </c>
      <c r="F31" s="492">
        <v>0.51848900088374716</v>
      </c>
      <c r="G31" s="492">
        <v>1.7468129999999999</v>
      </c>
      <c r="H31" s="492">
        <v>1.8360604899999999</v>
      </c>
      <c r="I31" s="492">
        <v>-18.798370900770401</v>
      </c>
      <c r="J31" s="492">
        <v>13.040991578734069</v>
      </c>
      <c r="K31" s="504"/>
    </row>
    <row r="32" spans="1:11" s="2" customFormat="1">
      <c r="A32" s="3">
        <v>7</v>
      </c>
      <c r="B32" s="954" t="s">
        <v>581</v>
      </c>
      <c r="C32" s="112" t="s">
        <v>297</v>
      </c>
      <c r="D32" s="492">
        <v>-871.75296169000001</v>
      </c>
      <c r="E32" s="492">
        <v>-874.14480400000002</v>
      </c>
      <c r="F32" s="492">
        <v>-906.6684547000001</v>
      </c>
      <c r="G32" s="492">
        <v>-1120.4720070000001</v>
      </c>
      <c r="H32" s="492">
        <v>-1011.2936051</v>
      </c>
      <c r="I32" s="492">
        <v>-1196.3340840999999</v>
      </c>
      <c r="J32" s="492">
        <v>-1316.8495439999999</v>
      </c>
      <c r="K32" s="504"/>
    </row>
    <row r="33" spans="1:11" s="2" customFormat="1">
      <c r="A33" s="3">
        <v>8</v>
      </c>
      <c r="B33" s="954" t="s">
        <v>582</v>
      </c>
      <c r="C33" s="112" t="s">
        <v>297</v>
      </c>
      <c r="D33" s="492">
        <v>2.11238334233171</v>
      </c>
      <c r="E33" s="492">
        <v>0.13632502329782864</v>
      </c>
      <c r="F33" s="492">
        <v>-0.42345628605788976</v>
      </c>
      <c r="G33" s="492">
        <v>1.87360726</v>
      </c>
      <c r="H33" s="492">
        <v>-0.22818456999999981</v>
      </c>
      <c r="I33" s="492">
        <v>5.5300741602519672</v>
      </c>
      <c r="J33" s="492">
        <v>1.9444870002832171</v>
      </c>
      <c r="K33" s="504"/>
    </row>
    <row r="34" spans="1:11" s="2" customFormat="1">
      <c r="A34" s="3">
        <v>9</v>
      </c>
      <c r="B34" s="954" t="s">
        <v>583</v>
      </c>
      <c r="C34" s="112" t="s">
        <v>297</v>
      </c>
      <c r="D34" s="760">
        <v>0</v>
      </c>
      <c r="E34" s="492">
        <v>12.5</v>
      </c>
      <c r="F34" s="760">
        <v>0</v>
      </c>
      <c r="G34" s="760">
        <v>0</v>
      </c>
      <c r="H34" s="760">
        <v>0</v>
      </c>
      <c r="I34" s="760">
        <v>0</v>
      </c>
      <c r="J34" s="760">
        <v>0</v>
      </c>
      <c r="K34" s="504"/>
    </row>
    <row r="35" spans="1:11" s="2" customFormat="1">
      <c r="A35" s="3">
        <v>10</v>
      </c>
      <c r="B35" s="954" t="s">
        <v>584</v>
      </c>
      <c r="C35" s="112" t="s">
        <v>297</v>
      </c>
      <c r="D35" s="760">
        <v>0</v>
      </c>
      <c r="E35" s="760">
        <v>0</v>
      </c>
      <c r="F35" s="760">
        <v>0</v>
      </c>
      <c r="G35" s="760">
        <v>0</v>
      </c>
      <c r="H35" s="760">
        <v>0</v>
      </c>
      <c r="I35" s="760">
        <v>0</v>
      </c>
      <c r="J35" s="492">
        <v>-12.042698</v>
      </c>
      <c r="K35" s="504"/>
    </row>
    <row r="36" spans="1:11" s="2" customFormat="1">
      <c r="A36" s="3">
        <v>11</v>
      </c>
      <c r="B36" s="954" t="s">
        <v>585</v>
      </c>
      <c r="C36" s="112" t="s">
        <v>297</v>
      </c>
      <c r="D36" s="760">
        <v>0</v>
      </c>
      <c r="E36" s="760">
        <v>0</v>
      </c>
      <c r="F36" s="760">
        <v>0</v>
      </c>
      <c r="G36" s="760">
        <v>0</v>
      </c>
      <c r="H36" s="760">
        <v>0</v>
      </c>
      <c r="I36" s="760">
        <v>0</v>
      </c>
      <c r="J36" s="492">
        <v>-2.034627</v>
      </c>
      <c r="K36" s="504"/>
    </row>
    <row r="37" spans="1:11" s="2" customFormat="1">
      <c r="A37" s="3">
        <v>12</v>
      </c>
      <c r="B37" s="954" t="s">
        <v>586</v>
      </c>
      <c r="C37" s="112" t="s">
        <v>297</v>
      </c>
      <c r="D37" s="760">
        <v>0</v>
      </c>
      <c r="E37" s="760">
        <v>0</v>
      </c>
      <c r="F37" s="760">
        <v>0</v>
      </c>
      <c r="G37" s="760">
        <v>0</v>
      </c>
      <c r="H37" s="760">
        <v>0</v>
      </c>
      <c r="I37" s="760">
        <v>0</v>
      </c>
      <c r="J37" s="492">
        <v>2.6186281422849444</v>
      </c>
      <c r="K37" s="504"/>
    </row>
    <row r="38" spans="1:11" s="2" customFormat="1">
      <c r="A38" s="3">
        <v>13</v>
      </c>
      <c r="B38" s="954" t="s">
        <v>340</v>
      </c>
      <c r="C38" s="112" t="s">
        <v>297</v>
      </c>
      <c r="D38" s="760">
        <v>0</v>
      </c>
      <c r="E38" s="760">
        <v>0</v>
      </c>
      <c r="F38" s="760">
        <v>0</v>
      </c>
      <c r="G38" s="760">
        <v>0</v>
      </c>
      <c r="H38" s="760">
        <v>0</v>
      </c>
      <c r="I38" s="760">
        <v>0</v>
      </c>
      <c r="J38" s="947">
        <v>0</v>
      </c>
      <c r="K38" s="504"/>
    </row>
    <row r="39" spans="1:11" s="2" customFormat="1">
      <c r="A39" s="3">
        <v>14</v>
      </c>
      <c r="B39" s="954" t="s">
        <v>340</v>
      </c>
      <c r="C39" s="112" t="s">
        <v>297</v>
      </c>
      <c r="D39" s="760">
        <v>0</v>
      </c>
      <c r="E39" s="760">
        <v>0</v>
      </c>
      <c r="F39" s="760">
        <v>0</v>
      </c>
      <c r="G39" s="760">
        <v>0</v>
      </c>
      <c r="H39" s="760">
        <v>0</v>
      </c>
      <c r="I39" s="760">
        <v>0</v>
      </c>
      <c r="J39" s="760">
        <v>0</v>
      </c>
      <c r="K39" s="504"/>
    </row>
    <row r="40" spans="1:11" s="2" customFormat="1">
      <c r="A40" s="3">
        <v>15</v>
      </c>
      <c r="B40" s="954" t="s">
        <v>340</v>
      </c>
      <c r="C40" s="112" t="s">
        <v>297</v>
      </c>
      <c r="D40" s="760">
        <v>0</v>
      </c>
      <c r="E40" s="760">
        <v>0</v>
      </c>
      <c r="F40" s="760">
        <v>0</v>
      </c>
      <c r="G40" s="760">
        <v>0</v>
      </c>
      <c r="H40" s="760">
        <v>0</v>
      </c>
      <c r="I40" s="760">
        <v>0</v>
      </c>
      <c r="J40" s="760">
        <v>0</v>
      </c>
      <c r="K40" s="504"/>
    </row>
    <row r="41" spans="1:11" s="2" customFormat="1">
      <c r="A41" s="3">
        <v>16</v>
      </c>
      <c r="B41" s="954" t="s">
        <v>340</v>
      </c>
      <c r="C41" s="112" t="s">
        <v>297</v>
      </c>
      <c r="D41" s="760">
        <v>0</v>
      </c>
      <c r="E41" s="760">
        <v>0</v>
      </c>
      <c r="F41" s="760">
        <v>0</v>
      </c>
      <c r="G41" s="760">
        <v>0</v>
      </c>
      <c r="H41" s="760">
        <v>0</v>
      </c>
      <c r="I41" s="760">
        <v>0</v>
      </c>
      <c r="J41" s="760">
        <v>0</v>
      </c>
      <c r="K41" s="504"/>
    </row>
    <row r="42" spans="1:11" s="2" customFormat="1">
      <c r="A42" s="3">
        <v>17</v>
      </c>
      <c r="B42" s="954" t="s">
        <v>340</v>
      </c>
      <c r="C42" s="112" t="s">
        <v>297</v>
      </c>
      <c r="D42" s="760">
        <v>0</v>
      </c>
      <c r="E42" s="760">
        <v>0</v>
      </c>
      <c r="F42" s="760">
        <v>0</v>
      </c>
      <c r="G42" s="760">
        <v>0</v>
      </c>
      <c r="H42" s="760">
        <v>0</v>
      </c>
      <c r="I42" s="760">
        <v>0</v>
      </c>
      <c r="J42" s="760">
        <v>0</v>
      </c>
      <c r="K42" s="504"/>
    </row>
    <row r="43" spans="1:11" s="2" customFormat="1">
      <c r="A43" s="3">
        <v>18</v>
      </c>
      <c r="B43" s="954" t="s">
        <v>340</v>
      </c>
      <c r="C43" s="112" t="s">
        <v>297</v>
      </c>
      <c r="D43" s="760">
        <v>0</v>
      </c>
      <c r="E43" s="760">
        <v>0</v>
      </c>
      <c r="F43" s="760">
        <v>0</v>
      </c>
      <c r="G43" s="760">
        <v>0</v>
      </c>
      <c r="H43" s="760">
        <v>0</v>
      </c>
      <c r="I43" s="760">
        <v>0</v>
      </c>
      <c r="J43" s="760">
        <v>0</v>
      </c>
      <c r="K43" s="504"/>
    </row>
    <row r="44" spans="1:11" s="2" customFormat="1">
      <c r="A44" s="3">
        <v>19</v>
      </c>
      <c r="B44" s="954" t="s">
        <v>340</v>
      </c>
      <c r="C44" s="112" t="s">
        <v>297</v>
      </c>
      <c r="D44" s="760">
        <v>0</v>
      </c>
      <c r="E44" s="760">
        <v>0</v>
      </c>
      <c r="F44" s="760">
        <v>0</v>
      </c>
      <c r="G44" s="760">
        <v>0</v>
      </c>
      <c r="H44" s="760">
        <v>0</v>
      </c>
      <c r="I44" s="760">
        <v>0</v>
      </c>
      <c r="J44" s="760">
        <v>0</v>
      </c>
      <c r="K44" s="504"/>
    </row>
    <row r="45" spans="1:11" s="2" customFormat="1">
      <c r="A45" s="3">
        <v>20</v>
      </c>
      <c r="B45" s="954" t="s">
        <v>340</v>
      </c>
      <c r="C45" s="112" t="s">
        <v>297</v>
      </c>
      <c r="D45" s="760">
        <v>0</v>
      </c>
      <c r="E45" s="760">
        <v>0</v>
      </c>
      <c r="F45" s="760">
        <v>0</v>
      </c>
      <c r="G45" s="760">
        <v>0</v>
      </c>
      <c r="H45" s="760">
        <v>0</v>
      </c>
      <c r="I45" s="760">
        <v>0</v>
      </c>
      <c r="J45" s="760">
        <v>0</v>
      </c>
      <c r="K45" s="504"/>
    </row>
    <row r="46" spans="1:11" s="2" customFormat="1">
      <c r="B46" s="5" t="s">
        <v>345</v>
      </c>
      <c r="C46" s="112" t="s">
        <v>297</v>
      </c>
      <c r="D46" s="508">
        <f>SUM(D26:D45)</f>
        <v>-3429.3599443929215</v>
      </c>
      <c r="E46" s="509">
        <f t="shared" ref="E46:K46" si="3">SUM(E26:E45)</f>
        <v>-3340.7060064952248</v>
      </c>
      <c r="F46" s="509">
        <f t="shared" si="3"/>
        <v>-3612.9520672086633</v>
      </c>
      <c r="G46" s="509">
        <f t="shared" si="3"/>
        <v>-3832.2242375907049</v>
      </c>
      <c r="H46" s="509">
        <f t="shared" si="3"/>
        <v>-3794.4600012322067</v>
      </c>
      <c r="I46" s="509">
        <f t="shared" si="3"/>
        <v>-3189.6156285837324</v>
      </c>
      <c r="J46" s="509">
        <f t="shared" si="3"/>
        <v>-1338.2644415697198</v>
      </c>
      <c r="K46" s="911">
        <f t="shared" si="3"/>
        <v>0</v>
      </c>
    </row>
    <row r="47" spans="1:11" s="2" customFormat="1">
      <c r="C47" s="98"/>
      <c r="D47" s="36"/>
      <c r="E47" s="35"/>
      <c r="F47" s="35"/>
      <c r="G47" s="35"/>
      <c r="H47" s="35"/>
      <c r="I47" s="35"/>
      <c r="J47" s="35"/>
      <c r="K47" s="35"/>
    </row>
    <row r="48" spans="1:11" s="2" customFormat="1">
      <c r="B48" s="5" t="s">
        <v>346</v>
      </c>
      <c r="C48" s="112" t="s">
        <v>297</v>
      </c>
      <c r="D48" s="508">
        <f>D46+D23</f>
        <v>148.58305560707868</v>
      </c>
      <c r="E48" s="509">
        <f t="shared" ref="E48:K48" si="4">E46+E23</f>
        <v>144.52999350477512</v>
      </c>
      <c r="F48" s="509">
        <f t="shared" si="4"/>
        <v>148.59479679133665</v>
      </c>
      <c r="G48" s="509">
        <f t="shared" si="4"/>
        <v>175.70300647929525</v>
      </c>
      <c r="H48" s="509">
        <f t="shared" si="4"/>
        <v>197.08320741779335</v>
      </c>
      <c r="I48" s="509">
        <f t="shared" si="4"/>
        <v>246.48322148626767</v>
      </c>
      <c r="J48" s="509">
        <f t="shared" si="4"/>
        <v>267.6273622946801</v>
      </c>
      <c r="K48" s="911">
        <f t="shared" si="4"/>
        <v>0</v>
      </c>
    </row>
    <row r="49" spans="1:11" s="2" customFormat="1">
      <c r="B49" s="2" t="s">
        <v>347</v>
      </c>
      <c r="C49" s="112" t="s">
        <v>297</v>
      </c>
      <c r="D49" s="492">
        <v>149.11601108707819</v>
      </c>
      <c r="E49" s="492">
        <v>145.05324818477524</v>
      </c>
      <c r="F49" s="492">
        <v>148.82196519133663</v>
      </c>
      <c r="G49" s="492">
        <v>175.80244196346334</v>
      </c>
      <c r="H49" s="492">
        <v>197.13548712823072</v>
      </c>
      <c r="I49" s="492">
        <v>246.38459550659132</v>
      </c>
      <c r="J49" s="492">
        <v>267.62736254448703</v>
      </c>
      <c r="K49" s="503"/>
    </row>
    <row r="50" spans="1:11" s="2" customFormat="1">
      <c r="C50" s="98" t="s">
        <v>348</v>
      </c>
      <c r="D50" s="529" t="str">
        <f>IF(D$5="Actuals",IF(ABS(D48-D49)&lt;1,"OK","ERROR"),"N/A")</f>
        <v>OK</v>
      </c>
      <c r="E50" s="530" t="str">
        <f t="shared" ref="E50:K50" si="5">IF(E$5="Actuals",IF(ABS(E48-E49)&lt;1,"OK","ERROR"),"N/A")</f>
        <v>OK</v>
      </c>
      <c r="F50" s="530" t="str">
        <f t="shared" si="5"/>
        <v>OK</v>
      </c>
      <c r="G50" s="530" t="str">
        <f t="shared" si="5"/>
        <v>OK</v>
      </c>
      <c r="H50" s="530" t="str">
        <f t="shared" si="5"/>
        <v>OK</v>
      </c>
      <c r="I50" s="530" t="str">
        <f t="shared" si="5"/>
        <v>OK</v>
      </c>
      <c r="J50" s="530" t="str">
        <f t="shared" si="5"/>
        <v>OK</v>
      </c>
      <c r="K50" s="531" t="str">
        <f t="shared" si="5"/>
        <v>N/A</v>
      </c>
    </row>
    <row r="51" spans="1:11" s="2" customFormat="1">
      <c r="B51" s="2" t="s">
        <v>183</v>
      </c>
      <c r="C51" s="98"/>
      <c r="D51" s="37"/>
    </row>
    <row r="52" spans="1:11" s="2" customFormat="1">
      <c r="B52" s="5" t="s">
        <v>349</v>
      </c>
      <c r="C52" s="112"/>
      <c r="D52" s="37"/>
    </row>
    <row r="53" spans="1:11" s="2" customFormat="1">
      <c r="A53" s="3">
        <v>1</v>
      </c>
      <c r="B53" s="954" t="s">
        <v>587</v>
      </c>
      <c r="C53" s="112" t="s">
        <v>297</v>
      </c>
      <c r="D53" s="492">
        <v>10.190324341687457</v>
      </c>
      <c r="E53" s="492">
        <v>10.519009496589609</v>
      </c>
      <c r="F53" s="492">
        <v>10.755279088104556</v>
      </c>
      <c r="G53" s="492">
        <v>10.839</v>
      </c>
      <c r="H53" s="492">
        <v>11.025653388533193</v>
      </c>
      <c r="I53" s="492">
        <v>11.434988130832217</v>
      </c>
      <c r="J53" s="492">
        <v>11.795844305966048</v>
      </c>
      <c r="K53" s="503"/>
    </row>
    <row r="54" spans="1:11" s="2" customFormat="1">
      <c r="A54" s="3">
        <v>2</v>
      </c>
      <c r="B54" s="954" t="s">
        <v>588</v>
      </c>
      <c r="C54" s="112" t="s">
        <v>297</v>
      </c>
      <c r="D54" s="947">
        <v>0</v>
      </c>
      <c r="E54" s="947">
        <v>0</v>
      </c>
      <c r="F54" s="947">
        <v>0</v>
      </c>
      <c r="G54" s="947">
        <v>0</v>
      </c>
      <c r="H54" s="947">
        <v>0</v>
      </c>
      <c r="I54" s="947">
        <v>0</v>
      </c>
      <c r="J54" s="947">
        <v>0</v>
      </c>
      <c r="K54" s="504"/>
    </row>
    <row r="55" spans="1:11" s="2" customFormat="1">
      <c r="A55" s="3">
        <v>3</v>
      </c>
      <c r="B55" s="954" t="s">
        <v>589</v>
      </c>
      <c r="C55" s="112" t="s">
        <v>297</v>
      </c>
      <c r="D55" s="492">
        <v>0.60146726878272239</v>
      </c>
      <c r="E55" s="492">
        <v>0.52459575594789198</v>
      </c>
      <c r="F55" s="492">
        <v>0.46750568019687</v>
      </c>
      <c r="G55" s="492">
        <v>0.629</v>
      </c>
      <c r="H55" s="492">
        <v>0.66252378140000012</v>
      </c>
      <c r="I55" s="492">
        <v>0.47936033510000003</v>
      </c>
      <c r="J55" s="492">
        <v>0.71263059239999993</v>
      </c>
      <c r="K55" s="504"/>
    </row>
    <row r="56" spans="1:11" s="2" customFormat="1">
      <c r="A56" s="3">
        <v>4</v>
      </c>
      <c r="B56" s="954" t="s">
        <v>590</v>
      </c>
      <c r="C56" s="112" t="s">
        <v>297</v>
      </c>
      <c r="D56" s="492">
        <v>0.18576164000000001</v>
      </c>
      <c r="E56" s="492">
        <v>9.5832320000000012E-2</v>
      </c>
      <c r="F56" s="492">
        <v>0.46056385</v>
      </c>
      <c r="G56" s="492">
        <v>-0.29488095000000003</v>
      </c>
      <c r="H56" s="492">
        <v>5.8115269999999997E-2</v>
      </c>
      <c r="I56" s="492">
        <v>6.58234618</v>
      </c>
      <c r="J56" s="492">
        <v>-2.6336993</v>
      </c>
      <c r="K56" s="504"/>
    </row>
    <row r="57" spans="1:11" s="2" customFormat="1">
      <c r="A57" s="3">
        <v>5</v>
      </c>
      <c r="B57" s="954" t="s">
        <v>591</v>
      </c>
      <c r="C57" s="112" t="s">
        <v>297</v>
      </c>
      <c r="D57" s="947">
        <v>0</v>
      </c>
      <c r="E57" s="492">
        <v>7.3459999999999998E-2</v>
      </c>
      <c r="F57" s="492">
        <v>0.59447781999999993</v>
      </c>
      <c r="G57" s="492">
        <v>2.1579998499999999</v>
      </c>
      <c r="H57" s="492">
        <v>4.6460394600000017</v>
      </c>
      <c r="I57" s="492">
        <v>8.6355734999999996</v>
      </c>
      <c r="J57" s="492">
        <v>7.6612614900000002</v>
      </c>
      <c r="K57" s="504"/>
    </row>
    <row r="58" spans="1:11" s="2" customFormat="1">
      <c r="A58" s="3">
        <v>6</v>
      </c>
      <c r="B58" s="954" t="s">
        <v>592</v>
      </c>
      <c r="C58" s="112" t="s">
        <v>297</v>
      </c>
      <c r="D58" s="492">
        <v>4.8999999999999995</v>
      </c>
      <c r="E58" s="947">
        <v>0</v>
      </c>
      <c r="F58" s="947">
        <v>0</v>
      </c>
      <c r="G58" s="947">
        <v>0</v>
      </c>
      <c r="H58" s="947">
        <v>0</v>
      </c>
      <c r="I58" s="947">
        <v>0</v>
      </c>
      <c r="J58" s="947">
        <v>0</v>
      </c>
      <c r="K58" s="504"/>
    </row>
    <row r="59" spans="1:11" s="2" customFormat="1">
      <c r="A59" s="3">
        <v>7</v>
      </c>
      <c r="B59" s="954" t="s">
        <v>593</v>
      </c>
      <c r="C59" s="112" t="s">
        <v>297</v>
      </c>
      <c r="D59" s="947">
        <v>0</v>
      </c>
      <c r="E59" s="947">
        <v>0</v>
      </c>
      <c r="F59" s="947">
        <v>0</v>
      </c>
      <c r="G59" s="947">
        <v>0</v>
      </c>
      <c r="H59" s="947">
        <v>0</v>
      </c>
      <c r="I59" s="947">
        <v>0</v>
      </c>
      <c r="J59" s="492">
        <v>0.73584000000000005</v>
      </c>
      <c r="K59" s="504"/>
    </row>
    <row r="60" spans="1:11" s="2" customFormat="1">
      <c r="A60" s="3">
        <v>8</v>
      </c>
      <c r="B60" s="954" t="s">
        <v>594</v>
      </c>
      <c r="C60" s="112" t="s">
        <v>297</v>
      </c>
      <c r="D60" s="947">
        <v>0</v>
      </c>
      <c r="E60" s="947">
        <v>0</v>
      </c>
      <c r="F60" s="947">
        <v>0</v>
      </c>
      <c r="G60" s="947">
        <v>0</v>
      </c>
      <c r="H60" s="947">
        <v>0</v>
      </c>
      <c r="I60" s="947">
        <v>0</v>
      </c>
      <c r="J60" s="492">
        <v>23.348199999999999</v>
      </c>
      <c r="K60" s="504"/>
    </row>
    <row r="61" spans="1:11" s="2" customFormat="1">
      <c r="A61" s="3">
        <v>9</v>
      </c>
      <c r="B61" s="954" t="s">
        <v>595</v>
      </c>
      <c r="C61" s="112" t="s">
        <v>297</v>
      </c>
      <c r="D61" s="947">
        <v>0</v>
      </c>
      <c r="E61" s="947">
        <v>0</v>
      </c>
      <c r="F61" s="947">
        <v>0</v>
      </c>
      <c r="G61" s="947">
        <v>0</v>
      </c>
      <c r="H61" s="947">
        <v>0</v>
      </c>
      <c r="I61" s="947">
        <v>0</v>
      </c>
      <c r="J61" s="492">
        <v>8.4648549600000003</v>
      </c>
      <c r="K61" s="504"/>
    </row>
    <row r="62" spans="1:11" s="2" customFormat="1">
      <c r="A62" s="3">
        <v>10</v>
      </c>
      <c r="B62" s="954" t="s">
        <v>350</v>
      </c>
      <c r="C62" s="112" t="s">
        <v>297</v>
      </c>
      <c r="D62" s="492">
        <v>-0.54632829250653003</v>
      </c>
      <c r="E62" s="492">
        <v>-1.9947410741866918</v>
      </c>
      <c r="F62" s="492">
        <v>-3.0249292011802709</v>
      </c>
      <c r="G62" s="492">
        <v>-0.11918804689676676</v>
      </c>
      <c r="H62" s="492">
        <v>-7.4446890116604436E-2</v>
      </c>
      <c r="I62" s="492">
        <v>9.8930825636216468E-2</v>
      </c>
      <c r="J62" s="492">
        <v>3.0221873143432276E-4</v>
      </c>
      <c r="K62" s="504"/>
    </row>
    <row r="63" spans="1:11" s="2" customFormat="1">
      <c r="A63" s="3">
        <v>11</v>
      </c>
      <c r="B63" s="954" t="s">
        <v>340</v>
      </c>
      <c r="C63" s="112" t="s">
        <v>297</v>
      </c>
      <c r="D63" s="947">
        <v>0</v>
      </c>
      <c r="E63" s="947">
        <v>0</v>
      </c>
      <c r="F63" s="947">
        <v>0</v>
      </c>
      <c r="G63" s="947">
        <v>0</v>
      </c>
      <c r="H63" s="947">
        <v>0</v>
      </c>
      <c r="I63" s="947">
        <v>0</v>
      </c>
      <c r="J63" s="947">
        <v>0</v>
      </c>
      <c r="K63" s="504"/>
    </row>
    <row r="64" spans="1:11" s="2" customFormat="1">
      <c r="A64" s="3">
        <v>12</v>
      </c>
      <c r="B64" s="954" t="s">
        <v>340</v>
      </c>
      <c r="C64" s="112" t="s">
        <v>297</v>
      </c>
      <c r="D64" s="947">
        <v>0</v>
      </c>
      <c r="E64" s="947">
        <v>0</v>
      </c>
      <c r="F64" s="947">
        <v>0</v>
      </c>
      <c r="G64" s="947">
        <v>0</v>
      </c>
      <c r="H64" s="947">
        <v>0</v>
      </c>
      <c r="I64" s="947">
        <v>0</v>
      </c>
      <c r="J64" s="947">
        <v>0</v>
      </c>
      <c r="K64" s="504"/>
    </row>
    <row r="65" spans="1:11" s="2" customFormat="1">
      <c r="A65" s="3">
        <v>13</v>
      </c>
      <c r="B65" s="954" t="s">
        <v>340</v>
      </c>
      <c r="C65" s="112" t="s">
        <v>297</v>
      </c>
      <c r="D65" s="947">
        <v>0</v>
      </c>
      <c r="E65" s="947">
        <v>0</v>
      </c>
      <c r="F65" s="947">
        <v>0</v>
      </c>
      <c r="G65" s="947">
        <v>0</v>
      </c>
      <c r="H65" s="947">
        <v>0</v>
      </c>
      <c r="I65" s="947">
        <v>0</v>
      </c>
      <c r="J65" s="947">
        <v>0</v>
      </c>
      <c r="K65" s="504"/>
    </row>
    <row r="66" spans="1:11" s="2" customFormat="1">
      <c r="A66" s="3">
        <v>14</v>
      </c>
      <c r="B66" s="954" t="s">
        <v>340</v>
      </c>
      <c r="C66" s="112" t="s">
        <v>297</v>
      </c>
      <c r="D66" s="947">
        <v>0</v>
      </c>
      <c r="E66" s="947">
        <v>0</v>
      </c>
      <c r="F66" s="947">
        <v>0</v>
      </c>
      <c r="G66" s="947">
        <v>0</v>
      </c>
      <c r="H66" s="947">
        <v>0</v>
      </c>
      <c r="I66" s="947">
        <v>0</v>
      </c>
      <c r="J66" s="947">
        <v>0</v>
      </c>
      <c r="K66" s="504"/>
    </row>
    <row r="67" spans="1:11" s="2" customFormat="1">
      <c r="A67" s="3">
        <v>15</v>
      </c>
      <c r="B67" s="954" t="s">
        <v>340</v>
      </c>
      <c r="C67" s="112" t="s">
        <v>297</v>
      </c>
      <c r="D67" s="947">
        <v>0</v>
      </c>
      <c r="E67" s="947">
        <v>0</v>
      </c>
      <c r="F67" s="947">
        <v>0</v>
      </c>
      <c r="G67" s="947">
        <v>0</v>
      </c>
      <c r="H67" s="947">
        <v>0</v>
      </c>
      <c r="I67" s="947">
        <v>0</v>
      </c>
      <c r="J67" s="947">
        <v>0</v>
      </c>
      <c r="K67" s="504"/>
    </row>
    <row r="68" spans="1:11" s="2" customFormat="1">
      <c r="A68" s="3">
        <v>16</v>
      </c>
      <c r="B68" s="954" t="s">
        <v>340</v>
      </c>
      <c r="C68" s="112" t="s">
        <v>297</v>
      </c>
      <c r="D68" s="947">
        <v>0</v>
      </c>
      <c r="E68" s="947">
        <v>0</v>
      </c>
      <c r="F68" s="947">
        <v>0</v>
      </c>
      <c r="G68" s="947">
        <v>0</v>
      </c>
      <c r="H68" s="947">
        <v>0</v>
      </c>
      <c r="I68" s="947">
        <v>0</v>
      </c>
      <c r="J68" s="947">
        <v>0</v>
      </c>
      <c r="K68" s="504"/>
    </row>
    <row r="69" spans="1:11" s="2" customFormat="1">
      <c r="A69" s="3">
        <v>17</v>
      </c>
      <c r="B69" s="954" t="s">
        <v>340</v>
      </c>
      <c r="C69" s="112" t="s">
        <v>297</v>
      </c>
      <c r="D69" s="947">
        <v>0</v>
      </c>
      <c r="E69" s="947">
        <v>0</v>
      </c>
      <c r="F69" s="947">
        <v>0</v>
      </c>
      <c r="G69" s="947">
        <v>0</v>
      </c>
      <c r="H69" s="947">
        <v>0</v>
      </c>
      <c r="I69" s="947">
        <v>0</v>
      </c>
      <c r="J69" s="947">
        <v>0</v>
      </c>
      <c r="K69" s="504"/>
    </row>
    <row r="70" spans="1:11" s="2" customFormat="1">
      <c r="A70" s="3">
        <v>18</v>
      </c>
      <c r="B70" s="954" t="s">
        <v>340</v>
      </c>
      <c r="C70" s="112" t="s">
        <v>297</v>
      </c>
      <c r="D70" s="947">
        <v>0</v>
      </c>
      <c r="E70" s="947">
        <v>0</v>
      </c>
      <c r="F70" s="947">
        <v>0</v>
      </c>
      <c r="G70" s="947">
        <v>0</v>
      </c>
      <c r="H70" s="947">
        <v>0</v>
      </c>
      <c r="I70" s="947">
        <v>0</v>
      </c>
      <c r="J70" s="947">
        <v>0</v>
      </c>
      <c r="K70" s="504"/>
    </row>
    <row r="71" spans="1:11" s="2" customFormat="1">
      <c r="A71" s="3">
        <v>19</v>
      </c>
      <c r="B71" s="954" t="s">
        <v>340</v>
      </c>
      <c r="C71" s="112" t="s">
        <v>297</v>
      </c>
      <c r="D71" s="947">
        <v>0</v>
      </c>
      <c r="E71" s="947">
        <v>0</v>
      </c>
      <c r="F71" s="947">
        <v>0</v>
      </c>
      <c r="G71" s="947">
        <v>0</v>
      </c>
      <c r="H71" s="947">
        <v>0</v>
      </c>
      <c r="I71" s="947">
        <v>0</v>
      </c>
      <c r="J71" s="947">
        <v>0</v>
      </c>
      <c r="K71" s="504"/>
    </row>
    <row r="72" spans="1:11" s="2" customFormat="1">
      <c r="A72" s="3">
        <v>20</v>
      </c>
      <c r="B72" s="954" t="s">
        <v>340</v>
      </c>
      <c r="C72" s="112" t="s">
        <v>297</v>
      </c>
      <c r="D72" s="947">
        <v>0</v>
      </c>
      <c r="E72" s="947">
        <v>0</v>
      </c>
      <c r="F72" s="947">
        <v>0</v>
      </c>
      <c r="G72" s="947">
        <v>0</v>
      </c>
      <c r="H72" s="947">
        <v>0</v>
      </c>
      <c r="I72" s="947">
        <v>0</v>
      </c>
      <c r="J72" s="947">
        <v>0</v>
      </c>
      <c r="K72" s="504"/>
    </row>
    <row r="73" spans="1:11" s="2" customFormat="1">
      <c r="A73" s="3">
        <v>21</v>
      </c>
      <c r="B73" s="954" t="s">
        <v>340</v>
      </c>
      <c r="C73" s="112" t="s">
        <v>297</v>
      </c>
      <c r="D73" s="947">
        <v>0</v>
      </c>
      <c r="E73" s="947">
        <v>0</v>
      </c>
      <c r="F73" s="947">
        <v>0</v>
      </c>
      <c r="G73" s="947">
        <v>0</v>
      </c>
      <c r="H73" s="947">
        <v>0</v>
      </c>
      <c r="I73" s="947">
        <v>0</v>
      </c>
      <c r="J73" s="947">
        <v>0</v>
      </c>
      <c r="K73" s="504"/>
    </row>
    <row r="74" spans="1:11" s="2" customFormat="1">
      <c r="A74" s="3">
        <v>22</v>
      </c>
      <c r="B74" s="954" t="s">
        <v>340</v>
      </c>
      <c r="C74" s="112" t="s">
        <v>297</v>
      </c>
      <c r="D74" s="947">
        <v>0</v>
      </c>
      <c r="E74" s="947">
        <v>0</v>
      </c>
      <c r="F74" s="947">
        <v>0</v>
      </c>
      <c r="G74" s="947">
        <v>0</v>
      </c>
      <c r="H74" s="947">
        <v>0</v>
      </c>
      <c r="I74" s="947">
        <v>0</v>
      </c>
      <c r="J74" s="947">
        <v>0</v>
      </c>
      <c r="K74" s="504"/>
    </row>
    <row r="75" spans="1:11" s="2" customFormat="1">
      <c r="A75" s="3">
        <v>23</v>
      </c>
      <c r="B75" s="954" t="s">
        <v>340</v>
      </c>
      <c r="C75" s="112" t="s">
        <v>297</v>
      </c>
      <c r="D75" s="947">
        <v>0</v>
      </c>
      <c r="E75" s="947">
        <v>0</v>
      </c>
      <c r="F75" s="947">
        <v>0</v>
      </c>
      <c r="G75" s="947">
        <v>0</v>
      </c>
      <c r="H75" s="947">
        <v>0</v>
      </c>
      <c r="I75" s="947">
        <v>0</v>
      </c>
      <c r="J75" s="947">
        <v>0</v>
      </c>
      <c r="K75" s="504"/>
    </row>
    <row r="76" spans="1:11" s="2" customFormat="1">
      <c r="A76" s="3">
        <v>24</v>
      </c>
      <c r="B76" s="954" t="s">
        <v>340</v>
      </c>
      <c r="C76" s="112" t="s">
        <v>297</v>
      </c>
      <c r="D76" s="947">
        <v>0</v>
      </c>
      <c r="E76" s="947">
        <v>0</v>
      </c>
      <c r="F76" s="947">
        <v>0</v>
      </c>
      <c r="G76" s="947">
        <v>0</v>
      </c>
      <c r="H76" s="947">
        <v>0</v>
      </c>
      <c r="I76" s="947">
        <v>0</v>
      </c>
      <c r="J76" s="947">
        <v>0</v>
      </c>
      <c r="K76" s="504"/>
    </row>
    <row r="77" spans="1:11" s="2" customFormat="1">
      <c r="A77" s="3">
        <v>25</v>
      </c>
      <c r="B77" s="954" t="s">
        <v>340</v>
      </c>
      <c r="C77" s="112" t="s">
        <v>297</v>
      </c>
      <c r="D77" s="947"/>
      <c r="E77" s="947"/>
      <c r="F77" s="947"/>
      <c r="G77" s="947"/>
      <c r="H77" s="947"/>
      <c r="I77" s="947"/>
      <c r="J77" s="947"/>
      <c r="K77" s="523"/>
    </row>
    <row r="78" spans="1:11" s="2" customFormat="1">
      <c r="B78" s="5" t="s">
        <v>351</v>
      </c>
      <c r="C78" s="112" t="s">
        <v>297</v>
      </c>
      <c r="D78" s="508">
        <f>SUM(D53:D77)</f>
        <v>15.331224957963649</v>
      </c>
      <c r="E78" s="509">
        <f t="shared" ref="E78:K78" si="6">SUM(E53:E77)</f>
        <v>9.21815649835081</v>
      </c>
      <c r="F78" s="509">
        <f t="shared" si="6"/>
        <v>9.2528972371211555</v>
      </c>
      <c r="G78" s="509">
        <f t="shared" si="6"/>
        <v>13.211930853103233</v>
      </c>
      <c r="H78" s="509">
        <f t="shared" si="6"/>
        <v>16.317885009816592</v>
      </c>
      <c r="I78" s="509">
        <f t="shared" si="6"/>
        <v>27.231198971568432</v>
      </c>
      <c r="J78" s="509">
        <f t="shared" si="6"/>
        <v>50.085234267097476</v>
      </c>
      <c r="K78" s="911">
        <f t="shared" si="6"/>
        <v>0</v>
      </c>
    </row>
    <row r="79" spans="1:11" s="2" customFormat="1">
      <c r="C79" s="98"/>
      <c r="D79" s="36"/>
      <c r="E79" s="35"/>
      <c r="F79" s="35"/>
      <c r="G79" s="35"/>
      <c r="H79" s="35"/>
      <c r="I79" s="35"/>
      <c r="J79" s="35"/>
      <c r="K79" s="35"/>
    </row>
    <row r="80" spans="1:11" s="2" customFormat="1">
      <c r="B80" s="5" t="s">
        <v>352</v>
      </c>
      <c r="C80" s="112" t="s">
        <v>297</v>
      </c>
      <c r="D80" s="508">
        <f>D48-D78</f>
        <v>133.25183064911502</v>
      </c>
      <c r="E80" s="509">
        <f t="shared" ref="E80:K80" si="7">E48-E78</f>
        <v>135.3118370064243</v>
      </c>
      <c r="F80" s="509">
        <f t="shared" si="7"/>
        <v>139.3418995542155</v>
      </c>
      <c r="G80" s="509">
        <f t="shared" si="7"/>
        <v>162.49107562619201</v>
      </c>
      <c r="H80" s="509">
        <f t="shared" si="7"/>
        <v>180.76532240797675</v>
      </c>
      <c r="I80" s="509">
        <f t="shared" si="7"/>
        <v>219.25202251469923</v>
      </c>
      <c r="J80" s="509">
        <f t="shared" si="7"/>
        <v>217.54212802758263</v>
      </c>
      <c r="K80" s="911">
        <f t="shared" si="7"/>
        <v>0</v>
      </c>
    </row>
    <row r="81" spans="2:11" s="2" customFormat="1">
      <c r="B81" s="5" t="s">
        <v>353</v>
      </c>
      <c r="C81" s="112" t="s">
        <v>297</v>
      </c>
      <c r="D81" s="532">
        <f>'R4 - Totex'!D90+'R4 - Totex'!D118</f>
        <v>133.25183064911502</v>
      </c>
      <c r="E81" s="533">
        <f>'R4 - Totex'!E90+'R4 - Totex'!E118</f>
        <v>135.3118370064243</v>
      </c>
      <c r="F81" s="533">
        <f>'R4 - Totex'!F90+'R4 - Totex'!F118</f>
        <v>139.3418995542155</v>
      </c>
      <c r="G81" s="533">
        <f>'R4 - Totex'!G90+'R4 - Totex'!G118</f>
        <v>162.49107562619201</v>
      </c>
      <c r="H81" s="533">
        <f>'R4 - Totex'!H90+'R4 - Totex'!H118</f>
        <v>180.76532240797675</v>
      </c>
      <c r="I81" s="533">
        <f>'R4 - Totex'!I90+'R4 - Totex'!I118</f>
        <v>219.25202251469923</v>
      </c>
      <c r="J81" s="533">
        <f>'R4 - Totex'!J90+'R4 - Totex'!J118</f>
        <v>217.54212802758261</v>
      </c>
      <c r="K81" s="533">
        <f>'R4 - Totex'!K90+'R4 - Totex'!K118</f>
        <v>222.70970808389541</v>
      </c>
    </row>
    <row r="82" spans="2:11" s="2" customFormat="1">
      <c r="C82" s="98" t="s">
        <v>348</v>
      </c>
      <c r="D82" s="470" t="str">
        <f>IF(D$5="Actuals",IF(ABS(D80-('R4 - Totex'!D90+'R4 - Totex'!D118))&lt;'RFPR cover'!$F$14,"OK","Error"),"N/A")</f>
        <v>OK</v>
      </c>
      <c r="E82" s="470" t="str">
        <f>IF(E$5="Actuals",IF(ABS(E80-('R4 - Totex'!E90+'R4 - Totex'!E118))&lt;'RFPR cover'!$F$14,"OK","Error"),"N/A")</f>
        <v>OK</v>
      </c>
      <c r="F82" s="470" t="str">
        <f>IF(F$5="Actuals",IF(ABS(F80-('R4 - Totex'!F90+'R4 - Totex'!F118))&lt;'RFPR cover'!$F$14,"OK","Error"),"N/A")</f>
        <v>OK</v>
      </c>
      <c r="G82" s="470" t="str">
        <f>IF(G$5="Actuals",IF(ABS(G80-('R4 - Totex'!G90+'R4 - Totex'!G118))&lt;'RFPR cover'!$F$14,"OK","Error"),"N/A")</f>
        <v>OK</v>
      </c>
      <c r="H82" s="470" t="str">
        <f>IF(H$5="Actuals",IF(ABS(H80-('R4 - Totex'!H90+'R4 - Totex'!H118))&lt;'RFPR cover'!$F$14,"OK","Error"),"N/A")</f>
        <v>OK</v>
      </c>
      <c r="I82" s="470" t="str">
        <f>IF(I$5="Actuals",IF(ABS(I80-('R4 - Totex'!I90+'R4 - Totex'!I118))&lt;'RFPR cover'!$F$14,"OK","Error"),"N/A")</f>
        <v>OK</v>
      </c>
      <c r="J82" s="470" t="str">
        <f>IF(J$5="Actuals",IF(ABS(J80-('R4 - Totex'!J90+'R4 - Totex'!J118))&lt;'RFPR cover'!$F$14,"OK","Error"),"N/A")</f>
        <v>OK</v>
      </c>
      <c r="K82" s="470" t="str">
        <f>IF(K$5="Actuals",IF(ABS(K80-('R4 - Totex'!K90+'R4 - Totex'!K118))&lt;'RFPR cover'!$F$14,"OK","Error"),"N/A")</f>
        <v>N/A</v>
      </c>
    </row>
    <row r="83" spans="2:11" s="2" customFormat="1">
      <c r="C83" s="98"/>
      <c r="D83" s="950"/>
      <c r="E83" s="950"/>
      <c r="F83" s="950"/>
      <c r="G83" s="950"/>
      <c r="H83" s="950"/>
      <c r="I83" s="950"/>
      <c r="J83" s="950"/>
    </row>
    <row r="84" spans="2:11">
      <c r="D84" s="173"/>
      <c r="E84" s="173"/>
      <c r="F84" s="173"/>
      <c r="G84" s="173"/>
      <c r="H84" s="173"/>
      <c r="I84" s="173"/>
      <c r="J84" s="173"/>
      <c r="K84" s="173"/>
    </row>
    <row r="85" spans="2:11">
      <c r="D85" s="173"/>
      <c r="E85" s="173"/>
      <c r="F85" s="173"/>
      <c r="G85" s="173"/>
      <c r="H85" s="173"/>
      <c r="I85" s="173"/>
      <c r="J85" s="173"/>
      <c r="K85" s="173"/>
    </row>
    <row r="86" spans="2:11">
      <c r="D86" s="173"/>
      <c r="E86" s="173"/>
      <c r="F86" s="173"/>
      <c r="G86" s="173"/>
      <c r="H86" s="173"/>
      <c r="I86" s="173"/>
      <c r="J86" s="173"/>
      <c r="K86" s="173"/>
    </row>
  </sheetData>
  <sheetProtection algorithmName="SHA-512" hashValue="CK/AL5QL/n/fz0Y/xObXfh/Mg1BAoU21Zq+b5neKImpFzwtHBzhRNmEnuLKqzZvf/8RyggWh0PMJY9rdwiu2BQ==" saltValue="lSV41Mohl17r0+1YTtHZxw==" spinCount="100000" sheet="1" formatCells="0" formatColumns="0" formatRows="0" insertColumns="0" insertRows="0" insertHyperlinks="0" deleteColumns="0" deleteRows="0" sort="0" autoFilter="0" pivotTables="0"/>
  <conditionalFormatting sqref="D6:J6">
    <cfRule type="expression" dxfId="68" priority="17">
      <formula>AND(D$5="Actuals",E$5="N/A")</formula>
    </cfRule>
  </conditionalFormatting>
  <conditionalFormatting sqref="D5:K5">
    <cfRule type="expression" dxfId="67" priority="8">
      <formula>AND(D$5="Actuals",E$5="N/A")</formula>
    </cfRule>
  </conditionalFormatting>
  <conditionalFormatting sqref="D80:K80 D82:K82 D23:K23 D9:K9 K10:K14 D10:J17 D18:K19 D26:K46 D48:K50 D53:K78">
    <cfRule type="expression" dxfId="66" priority="3">
      <formula>D$5="N/A"</formula>
    </cfRule>
  </conditionalFormatting>
  <conditionalFormatting sqref="K15:K17">
    <cfRule type="expression" dxfId="65" priority="2">
      <formula>K$5="N/A"</formula>
    </cfRule>
  </conditionalFormatting>
  <conditionalFormatting sqref="D20:K22">
    <cfRule type="expression" dxfId="64" priority="1">
      <formula>D$5="N/A"</formula>
    </cfRule>
  </conditionalFormatting>
  <pageMargins left="0.70866141732283472" right="0.70866141732283472" top="0.74803149606299213" bottom="0.74803149606299213" header="0.31496062992125984" footer="0.31496062992125984"/>
  <pageSetup paperSize="8" scale="65" orientation="landscape" r:id="rId1"/>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topLeftCell="E1" zoomScale="80" zoomScaleNormal="80" workbookViewId="0">
      <pane ySplit="6" topLeftCell="A7" activePane="bottomLeft" state="frozen"/>
      <selection activeCell="B75" sqref="A1:XFD1048576"/>
      <selection pane="bottomLeft" activeCell="N12" sqref="N12:N13"/>
    </sheetView>
  </sheetViews>
  <sheetFormatPr defaultColWidth="9.125" defaultRowHeight="12.75"/>
  <cols>
    <col min="1" max="1" width="8.375" style="2" customWidth="1"/>
    <col min="2" max="2" width="75.5" style="94" customWidth="1"/>
    <col min="3" max="3" width="13.375" style="98" customWidth="1"/>
    <col min="4" max="11" width="11.125" style="2" customWidth="1"/>
    <col min="12" max="13" width="12.875" style="2" customWidth="1"/>
    <col min="14" max="14" width="25.5" style="2" customWidth="1"/>
    <col min="15" max="16384" width="9.125" style="2"/>
  </cols>
  <sheetData>
    <row r="1" spans="1:20" s="18" customFormat="1" ht="20.25">
      <c r="A1" s="856" t="s">
        <v>201</v>
      </c>
      <c r="B1" s="739"/>
      <c r="C1" s="231"/>
      <c r="D1" s="211"/>
      <c r="E1" s="211"/>
      <c r="F1" s="211"/>
      <c r="G1" s="211"/>
      <c r="H1" s="211"/>
      <c r="I1" s="212"/>
      <c r="J1" s="212"/>
      <c r="K1" s="213"/>
      <c r="L1" s="213"/>
      <c r="M1" s="213"/>
      <c r="N1" s="213"/>
      <c r="O1" s="876"/>
    </row>
    <row r="2" spans="1:20" s="18" customFormat="1" ht="20.25">
      <c r="A2" s="725" t="str">
        <f>'RFPR cover'!C5</f>
        <v>NGET (SO)</v>
      </c>
      <c r="B2" s="737"/>
      <c r="C2" s="97"/>
      <c r="D2" s="16"/>
      <c r="E2" s="16"/>
      <c r="F2" s="16"/>
      <c r="G2" s="16"/>
      <c r="H2" s="16"/>
      <c r="I2" s="15"/>
      <c r="J2" s="15"/>
      <c r="K2" s="15"/>
      <c r="L2" s="15"/>
      <c r="M2" s="15"/>
      <c r="N2" s="15"/>
      <c r="O2" s="93"/>
    </row>
    <row r="3" spans="1:20" s="18" customFormat="1" ht="20.25">
      <c r="A3" s="728">
        <f>'RFPR cover'!C7</f>
        <v>2020</v>
      </c>
      <c r="B3" s="738"/>
      <c r="C3" s="230"/>
      <c r="D3" s="214"/>
      <c r="E3" s="214"/>
      <c r="F3" s="214"/>
      <c r="G3" s="214"/>
      <c r="H3" s="214"/>
      <c r="I3" s="210"/>
      <c r="J3" s="210"/>
      <c r="K3" s="210"/>
      <c r="L3" s="210"/>
      <c r="M3" s="210"/>
      <c r="N3" s="210"/>
      <c r="O3" s="215"/>
    </row>
    <row r="4" spans="1:20" ht="12.75" customHeight="1"/>
    <row r="5" spans="1:20" ht="12.75" customHeight="1">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row>
    <row r="6" spans="1:20" ht="27.75" customHeight="1">
      <c r="B6" s="620"/>
      <c r="D6" s="90">
        <f>'RFPR cover'!$C$13</f>
        <v>2014</v>
      </c>
      <c r="E6" s="91">
        <f>D6+1</f>
        <v>2015</v>
      </c>
      <c r="F6" s="91">
        <f t="shared" ref="F6:K6" si="0">E6+1</f>
        <v>2016</v>
      </c>
      <c r="G6" s="91">
        <f t="shared" si="0"/>
        <v>2017</v>
      </c>
      <c r="H6" s="91">
        <f t="shared" si="0"/>
        <v>2018</v>
      </c>
      <c r="I6" s="91">
        <f t="shared" si="0"/>
        <v>2019</v>
      </c>
      <c r="J6" s="91">
        <f t="shared" si="0"/>
        <v>2020</v>
      </c>
      <c r="K6" s="91">
        <f t="shared" si="0"/>
        <v>2021</v>
      </c>
      <c r="L6" s="74" t="str">
        <f>"Cumulative to "&amp;'RFPR cover'!$C$7</f>
        <v>Cumulative to 2020</v>
      </c>
      <c r="M6" s="92" t="s">
        <v>247</v>
      </c>
      <c r="N6" s="92" t="s">
        <v>268</v>
      </c>
    </row>
    <row r="7" spans="1:20" s="21" customFormat="1">
      <c r="B7" s="621"/>
      <c r="C7" s="117"/>
      <c r="D7" s="41"/>
      <c r="E7" s="41"/>
      <c r="F7" s="41"/>
      <c r="G7" s="41"/>
      <c r="H7" s="41"/>
      <c r="I7" s="41"/>
      <c r="J7" s="41"/>
      <c r="K7" s="41"/>
      <c r="L7" s="41"/>
      <c r="M7" s="41"/>
      <c r="N7" s="41"/>
    </row>
    <row r="8" spans="1:20" s="21" customFormat="1">
      <c r="B8" s="622" t="s">
        <v>269</v>
      </c>
      <c r="C8" s="243"/>
      <c r="D8" s="269"/>
      <c r="E8" s="269"/>
      <c r="F8" s="269"/>
      <c r="G8" s="269"/>
      <c r="H8" s="269"/>
      <c r="I8" s="269"/>
      <c r="J8" s="269"/>
      <c r="K8" s="269"/>
      <c r="L8" s="269"/>
      <c r="M8" s="269"/>
      <c r="N8" s="269"/>
    </row>
    <row r="9" spans="1:20" s="21" customFormat="1">
      <c r="B9" s="621"/>
      <c r="C9" s="117"/>
      <c r="D9" s="41"/>
      <c r="E9" s="41"/>
      <c r="F9" s="41"/>
      <c r="G9" s="41"/>
      <c r="H9" s="41"/>
      <c r="I9" s="41"/>
      <c r="J9" s="41"/>
      <c r="K9" s="41"/>
      <c r="L9" s="41"/>
      <c r="M9" s="41"/>
      <c r="N9" s="41"/>
    </row>
    <row r="10" spans="1:20">
      <c r="A10" s="21"/>
      <c r="B10" s="623" t="str">
        <f>Data!B48</f>
        <v>Totex</v>
      </c>
      <c r="C10" s="110"/>
      <c r="D10" s="61"/>
      <c r="E10" s="61"/>
      <c r="F10" s="61"/>
      <c r="G10" s="61"/>
      <c r="H10" s="61"/>
      <c r="I10" s="61"/>
      <c r="J10" s="61"/>
      <c r="K10" s="61"/>
      <c r="L10" s="61"/>
      <c r="M10" s="61"/>
      <c r="N10" s="61"/>
    </row>
    <row r="11" spans="1:20" s="21" customFormat="1">
      <c r="B11" s="624"/>
      <c r="C11" s="100"/>
      <c r="D11" s="268"/>
      <c r="E11" s="268"/>
      <c r="F11" s="268"/>
      <c r="G11" s="268"/>
      <c r="H11" s="268"/>
      <c r="I11" s="268"/>
      <c r="J11" s="268"/>
      <c r="K11" s="268"/>
      <c r="L11" s="268"/>
      <c r="M11" s="268"/>
      <c r="N11" s="268"/>
    </row>
    <row r="12" spans="1:20">
      <c r="A12" s="21"/>
      <c r="B12" s="256" t="s">
        <v>270</v>
      </c>
      <c r="C12" s="114" t="str">
        <f>'RFPR cover'!$C$14</f>
        <v>£m 09/10</v>
      </c>
      <c r="D12" s="391">
        <v>114.21366187058352</v>
      </c>
      <c r="E12" s="391">
        <v>113.7498359172202</v>
      </c>
      <c r="F12" s="391">
        <v>115.88881769518302</v>
      </c>
      <c r="G12" s="391">
        <v>132.30668063427035</v>
      </c>
      <c r="H12" s="391">
        <v>141.87725100761679</v>
      </c>
      <c r="I12" s="391">
        <v>166.98205183732586</v>
      </c>
      <c r="J12" s="391">
        <v>161.4990687448043</v>
      </c>
      <c r="K12" s="391">
        <v>162.57166198766774</v>
      </c>
      <c r="L12" s="80">
        <f>SUM(D12:INDEX(D12:K12,0,MATCH('RFPR cover'!$C$7,$D$6:$K$6,0)))</f>
        <v>946.51736770700393</v>
      </c>
      <c r="M12" s="81">
        <f>SUM(D12:K12)</f>
        <v>1109.0890296946716</v>
      </c>
      <c r="N12" s="46"/>
      <c r="O12" s="46"/>
    </row>
    <row r="13" spans="1:20" ht="25.5">
      <c r="A13" s="21"/>
      <c r="B13" s="625" t="s">
        <v>271</v>
      </c>
      <c r="C13" s="114" t="str">
        <f>'RFPR cover'!$C$14</f>
        <v>£m 09/10</v>
      </c>
      <c r="D13" s="391">
        <v>126.12371301265952</v>
      </c>
      <c r="E13" s="391">
        <v>114.52533526444685</v>
      </c>
      <c r="F13" s="391">
        <v>120.0850026717011</v>
      </c>
      <c r="G13" s="391">
        <v>126.23892707810136</v>
      </c>
      <c r="H13" s="391">
        <v>137.38332852692693</v>
      </c>
      <c r="I13" s="391">
        <v>161.84438325052898</v>
      </c>
      <c r="J13" s="391">
        <v>138.15589457984353</v>
      </c>
      <c r="K13" s="391">
        <v>136.41754534442893</v>
      </c>
      <c r="L13" s="78">
        <f>SUM(D13:INDEX(D13:K13,0,MATCH('RFPR cover'!$C$7,$D$6:$K$6,0)))</f>
        <v>924.3565843842083</v>
      </c>
      <c r="M13" s="79">
        <f>SUM(D13:K13)</f>
        <v>1060.7741297286373</v>
      </c>
      <c r="N13" s="46"/>
      <c r="O13" s="46"/>
    </row>
    <row r="14" spans="1:20">
      <c r="A14" s="21"/>
      <c r="B14" s="626" t="s">
        <v>272</v>
      </c>
      <c r="C14" s="114" t="str">
        <f>'RFPR cover'!$C$14</f>
        <v>£m 09/10</v>
      </c>
      <c r="D14" s="75">
        <f>D13-D12</f>
        <v>11.910051142076</v>
      </c>
      <c r="E14" s="76">
        <f t="shared" ref="E14:M14" si="1">E13-E12</f>
        <v>0.77549934722665625</v>
      </c>
      <c r="F14" s="76">
        <f t="shared" si="1"/>
        <v>4.196184976518083</v>
      </c>
      <c r="G14" s="76">
        <f t="shared" si="1"/>
        <v>-6.067753556168995</v>
      </c>
      <c r="H14" s="76">
        <f t="shared" si="1"/>
        <v>-4.4939224806898608</v>
      </c>
      <c r="I14" s="76">
        <f t="shared" si="1"/>
        <v>-5.1376685867968774</v>
      </c>
      <c r="J14" s="76">
        <f t="shared" si="1"/>
        <v>-23.343174164960772</v>
      </c>
      <c r="K14" s="76">
        <f t="shared" si="1"/>
        <v>-26.154116643238808</v>
      </c>
      <c r="L14" s="75">
        <f t="shared" si="1"/>
        <v>-22.160783322795623</v>
      </c>
      <c r="M14" s="77">
        <f t="shared" si="1"/>
        <v>-48.314899966034318</v>
      </c>
      <c r="N14" s="46"/>
      <c r="O14" s="1003"/>
      <c r="P14" s="1003"/>
      <c r="Q14" s="1003"/>
      <c r="R14"/>
      <c r="S14"/>
      <c r="T14"/>
    </row>
    <row r="15" spans="1:20">
      <c r="A15" s="21"/>
      <c r="B15" s="626"/>
      <c r="C15" s="114"/>
      <c r="D15" s="42"/>
      <c r="E15" s="42"/>
      <c r="F15" s="42"/>
      <c r="G15" s="42"/>
      <c r="H15" s="42"/>
      <c r="I15" s="42"/>
      <c r="J15" s="42"/>
      <c r="K15" s="42"/>
      <c r="L15" s="42"/>
      <c r="M15" s="42"/>
      <c r="O15" s="47"/>
      <c r="P15" s="47"/>
      <c r="Q15" s="47"/>
      <c r="R15"/>
      <c r="S15"/>
      <c r="T15"/>
    </row>
    <row r="16" spans="1:20">
      <c r="A16" s="21"/>
      <c r="B16" s="620" t="s">
        <v>273</v>
      </c>
      <c r="C16" s="98" t="s">
        <v>250</v>
      </c>
      <c r="D16" s="82">
        <f>1-INDEX(Data!$D$73:$D$100,MATCH('RFPR cover'!$C$5,Data!$B$73:$B$100,0),0)</f>
        <v>0.53110000000000002</v>
      </c>
      <c r="E16" s="83">
        <f>1-INDEX(Data!$D$73:$D$100,MATCH('RFPR cover'!$C$5,Data!$B$73:$B$100,0),0)</f>
        <v>0.53110000000000002</v>
      </c>
      <c r="F16" s="83">
        <f>1-INDEX(Data!$D$73:$D$100,MATCH('RFPR cover'!$C$5,Data!$B$73:$B$100,0),0)</f>
        <v>0.53110000000000002</v>
      </c>
      <c r="G16" s="83">
        <f>1-INDEX(Data!$D$73:$D$100,MATCH('RFPR cover'!$C$5,Data!$B$73:$B$100,0),0)</f>
        <v>0.53110000000000002</v>
      </c>
      <c r="H16" s="83">
        <f>1-INDEX(Data!$D$73:$D$100,MATCH('RFPR cover'!$C$5,Data!$B$73:$B$100,0),0)</f>
        <v>0.53110000000000002</v>
      </c>
      <c r="I16" s="83">
        <f>1-INDEX(Data!$D$73:$D$100,MATCH('RFPR cover'!$C$5,Data!$B$73:$B$100,0),0)</f>
        <v>0.53110000000000002</v>
      </c>
      <c r="J16" s="83">
        <f>1-INDEX(Data!$D$73:$D$100,MATCH('RFPR cover'!$C$5,Data!$B$73:$B$100,0),0)</f>
        <v>0.53110000000000002</v>
      </c>
      <c r="K16" s="84">
        <f>1-INDEX(Data!$D$73:$D$100,MATCH('RFPR cover'!$C$5,Data!$B$73:$B$100,0),0)</f>
        <v>0.53110000000000002</v>
      </c>
      <c r="L16" s="45"/>
      <c r="M16" s="45"/>
      <c r="O16"/>
      <c r="P16"/>
      <c r="Q16"/>
      <c r="R16"/>
      <c r="S16"/>
      <c r="T16"/>
    </row>
    <row r="17" spans="1:20">
      <c r="A17" s="21"/>
      <c r="B17" s="620"/>
      <c r="O17"/>
      <c r="P17"/>
      <c r="Q17"/>
      <c r="R17"/>
      <c r="S17"/>
      <c r="T17"/>
    </row>
    <row r="18" spans="1:20">
      <c r="A18" s="21"/>
      <c r="B18" s="627" t="s">
        <v>274</v>
      </c>
      <c r="C18" s="118" t="str">
        <f>'RFPR cover'!$C$14</f>
        <v>£m 09/10</v>
      </c>
      <c r="D18" s="68">
        <f>D14*D16</f>
        <v>6.3254281615565642</v>
      </c>
      <c r="E18" s="69">
        <f t="shared" ref="E18:K18" si="2">E14*E16</f>
        <v>0.41186770331207717</v>
      </c>
      <c r="F18" s="69">
        <f t="shared" si="2"/>
        <v>2.2285938410287538</v>
      </c>
      <c r="G18" s="69">
        <f t="shared" si="2"/>
        <v>-3.2225839136813534</v>
      </c>
      <c r="H18" s="69">
        <f t="shared" si="2"/>
        <v>-2.3867222294943851</v>
      </c>
      <c r="I18" s="69">
        <f t="shared" si="2"/>
        <v>-2.7286157864478215</v>
      </c>
      <c r="J18" s="69">
        <f t="shared" si="2"/>
        <v>-12.397559799010667</v>
      </c>
      <c r="K18" s="69">
        <f t="shared" si="2"/>
        <v>-13.890451349224131</v>
      </c>
      <c r="L18" s="68">
        <f>SUM(D18:INDEX(D18:K18,0,MATCH('RFPR cover'!$C$7,$D$6:$K$6,0)))</f>
        <v>-11.769592022736832</v>
      </c>
      <c r="M18" s="70">
        <f>SUM(D18:K18)</f>
        <v>-25.660043371960963</v>
      </c>
      <c r="O18"/>
      <c r="P18"/>
      <c r="Q18"/>
      <c r="R18"/>
      <c r="S18"/>
      <c r="T18"/>
    </row>
    <row r="19" spans="1:20">
      <c r="A19" s="21"/>
      <c r="B19" s="627" t="s">
        <v>275</v>
      </c>
      <c r="C19" s="118" t="str">
        <f>'RFPR cover'!$C$14</f>
        <v>£m 09/10</v>
      </c>
      <c r="D19" s="65">
        <f>D14*(1-D16)</f>
        <v>5.5846229805194358</v>
      </c>
      <c r="E19" s="66">
        <f t="shared" ref="E19:K19" si="3">E14*(1-E16)</f>
        <v>0.36363164391457908</v>
      </c>
      <c r="F19" s="66">
        <f t="shared" si="3"/>
        <v>1.967591135489329</v>
      </c>
      <c r="G19" s="66">
        <f t="shared" si="3"/>
        <v>-2.8451696424876416</v>
      </c>
      <c r="H19" s="66">
        <f t="shared" si="3"/>
        <v>-2.1072002511954757</v>
      </c>
      <c r="I19" s="66">
        <f t="shared" si="3"/>
        <v>-2.4090528003490559</v>
      </c>
      <c r="J19" s="66">
        <f t="shared" si="3"/>
        <v>-10.945614365950105</v>
      </c>
      <c r="K19" s="66">
        <f t="shared" si="3"/>
        <v>-12.263665294014677</v>
      </c>
      <c r="L19" s="65">
        <f>SUM(D19:INDEX(D19:K19,0,MATCH('RFPR cover'!$C$7,$D$6:$K$6,0)))</f>
        <v>-10.391191300058933</v>
      </c>
      <c r="M19" s="67">
        <f>SUM(D19:K19)</f>
        <v>-22.65485659407361</v>
      </c>
      <c r="O19"/>
      <c r="P19"/>
      <c r="Q19"/>
      <c r="R19"/>
      <c r="S19"/>
      <c r="T19"/>
    </row>
    <row r="20" spans="1:20">
      <c r="A20" s="21"/>
      <c r="B20" s="620"/>
      <c r="O20"/>
      <c r="P20"/>
      <c r="Q20"/>
      <c r="R20"/>
      <c r="S20"/>
      <c r="T20"/>
    </row>
    <row r="21" spans="1:20">
      <c r="A21" s="21"/>
      <c r="B21" s="628" t="s">
        <v>276</v>
      </c>
      <c r="N21" s="46"/>
      <c r="O21"/>
      <c r="P21"/>
      <c r="Q21"/>
      <c r="R21"/>
      <c r="S21"/>
      <c r="T21"/>
    </row>
    <row r="22" spans="1:20">
      <c r="A22" s="223" t="s">
        <v>277</v>
      </c>
      <c r="B22" s="761" t="s">
        <v>596</v>
      </c>
      <c r="C22" s="114" t="str">
        <f>'RFPR cover'!$C$14</f>
        <v>£m 09/10</v>
      </c>
      <c r="D22" s="762">
        <v>0</v>
      </c>
      <c r="E22" s="762">
        <v>0</v>
      </c>
      <c r="F22" s="762">
        <v>0</v>
      </c>
      <c r="G22" s="492">
        <v>-2.0595146267083919E-3</v>
      </c>
      <c r="H22" s="391">
        <v>7.0657840433341335E-4</v>
      </c>
      <c r="I22" s="492">
        <v>-1.2947827035731052E-2</v>
      </c>
      <c r="J22" s="492">
        <v>-3.0234527687582613E-3</v>
      </c>
      <c r="K22" s="391">
        <v>2.3191400253245718</v>
      </c>
      <c r="L22" s="482">
        <f>SUM(D22:INDEX(D22:K22,0,MATCH('RFPR cover'!$C$7,$D$6:$K$6,0)))</f>
        <v>-1.7324216026864292E-2</v>
      </c>
      <c r="M22" s="483">
        <f t="shared" ref="M22:M27" si="4">SUM(D22:K22)</f>
        <v>2.3018158092977075</v>
      </c>
      <c r="N22" s="471"/>
      <c r="O22"/>
      <c r="P22"/>
      <c r="Q22"/>
      <c r="R22"/>
      <c r="S22"/>
      <c r="T22"/>
    </row>
    <row r="23" spans="1:20">
      <c r="A23" s="223" t="s">
        <v>278</v>
      </c>
      <c r="B23" s="618" t="s">
        <v>597</v>
      </c>
      <c r="C23" s="114" t="str">
        <f>'RFPR cover'!$C$14</f>
        <v>£m 09/10</v>
      </c>
      <c r="D23" s="492">
        <v>-11.210051142076001</v>
      </c>
      <c r="E23" s="492">
        <v>-5.8754993472266559</v>
      </c>
      <c r="F23" s="492">
        <v>-4.4961849765180828</v>
      </c>
      <c r="G23" s="492">
        <v>8.1698130707957031</v>
      </c>
      <c r="H23" s="492">
        <v>2.0932159022855275</v>
      </c>
      <c r="I23" s="492">
        <v>-1.7493835861673919</v>
      </c>
      <c r="J23" s="492">
        <v>6.53</v>
      </c>
      <c r="K23" s="492">
        <v>6.5380900789069001</v>
      </c>
      <c r="L23" s="915">
        <f>SUM(D23:INDEX(D23:K23,0,MATCH('RFPR cover'!$C$7,$D$6:$K$6,0)))</f>
        <v>-6.5380900789069001</v>
      </c>
      <c r="M23" s="916">
        <f t="shared" si="4"/>
        <v>0</v>
      </c>
      <c r="N23" s="472"/>
      <c r="O23"/>
      <c r="P23"/>
      <c r="Q23"/>
      <c r="R23"/>
      <c r="S23"/>
      <c r="T23"/>
    </row>
    <row r="24" spans="1:20">
      <c r="A24" s="223" t="s">
        <v>279</v>
      </c>
      <c r="B24" s="618" t="s">
        <v>280</v>
      </c>
      <c r="C24" s="114" t="str">
        <f>'RFPR cover'!$C$14</f>
        <v>£m 09/10</v>
      </c>
      <c r="D24" s="391"/>
      <c r="E24" s="391"/>
      <c r="F24" s="391"/>
      <c r="G24" s="391"/>
      <c r="H24" s="391"/>
      <c r="I24" s="391"/>
      <c r="J24" s="391"/>
      <c r="K24" s="391"/>
      <c r="L24" s="915">
        <f>SUM(D24:INDEX(D24:K24,0,MATCH('RFPR cover'!$C$7,$D$6:$K$6,0)))</f>
        <v>0</v>
      </c>
      <c r="M24" s="916">
        <f t="shared" si="4"/>
        <v>0</v>
      </c>
      <c r="N24" s="472"/>
      <c r="O24"/>
      <c r="P24"/>
      <c r="Q24"/>
      <c r="R24"/>
      <c r="S24" s="48"/>
      <c r="T24"/>
    </row>
    <row r="25" spans="1:20">
      <c r="A25" s="223" t="s">
        <v>281</v>
      </c>
      <c r="B25" s="618" t="s">
        <v>280</v>
      </c>
      <c r="C25" s="114" t="str">
        <f>'RFPR cover'!$C$14</f>
        <v>£m 09/10</v>
      </c>
      <c r="D25" s="391"/>
      <c r="E25" s="391"/>
      <c r="F25" s="391"/>
      <c r="G25" s="391"/>
      <c r="H25" s="391"/>
      <c r="I25" s="391"/>
      <c r="J25" s="391"/>
      <c r="K25" s="391"/>
      <c r="L25" s="915">
        <f>SUM(D25:INDEX(D25:K25,0,MATCH('RFPR cover'!$C$7,$D$6:$K$6,0)))</f>
        <v>0</v>
      </c>
      <c r="M25" s="916">
        <f t="shared" si="4"/>
        <v>0</v>
      </c>
      <c r="N25" s="472"/>
      <c r="O25"/>
      <c r="P25"/>
      <c r="Q25"/>
      <c r="R25"/>
      <c r="S25"/>
      <c r="T25"/>
    </row>
    <row r="26" spans="1:20">
      <c r="A26" s="223" t="s">
        <v>282</v>
      </c>
      <c r="B26" s="618" t="s">
        <v>280</v>
      </c>
      <c r="C26" s="114" t="str">
        <f>'RFPR cover'!$C$14</f>
        <v>£m 09/10</v>
      </c>
      <c r="D26" s="391"/>
      <c r="E26" s="391"/>
      <c r="F26" s="391"/>
      <c r="G26" s="391"/>
      <c r="H26" s="391"/>
      <c r="I26" s="391"/>
      <c r="J26" s="391"/>
      <c r="K26" s="391"/>
      <c r="L26" s="915">
        <f>SUM(D26:INDEX(D26:K26,0,MATCH('RFPR cover'!$C$7,$D$6:$K$6,0)))</f>
        <v>0</v>
      </c>
      <c r="M26" s="916">
        <f t="shared" si="4"/>
        <v>0</v>
      </c>
      <c r="N26" s="472"/>
      <c r="O26"/>
      <c r="P26"/>
      <c r="Q26"/>
      <c r="R26"/>
      <c r="S26"/>
      <c r="T26"/>
    </row>
    <row r="27" spans="1:20">
      <c r="A27" s="223" t="s">
        <v>283</v>
      </c>
      <c r="B27" s="618" t="s">
        <v>280</v>
      </c>
      <c r="C27" s="114" t="str">
        <f>'RFPR cover'!$C$14</f>
        <v>£m 09/10</v>
      </c>
      <c r="D27" s="391"/>
      <c r="E27" s="391"/>
      <c r="F27" s="391"/>
      <c r="G27" s="391"/>
      <c r="H27" s="391"/>
      <c r="I27" s="391"/>
      <c r="J27" s="391"/>
      <c r="K27" s="391"/>
      <c r="L27" s="917">
        <f>SUM(D27:INDEX(D27:K27,0,MATCH('RFPR cover'!$C$7,$D$6:$K$6,0)))</f>
        <v>0</v>
      </c>
      <c r="M27" s="918">
        <f t="shared" si="4"/>
        <v>0</v>
      </c>
      <c r="N27" s="473"/>
      <c r="O27"/>
      <c r="P27"/>
      <c r="Q27"/>
      <c r="R27"/>
      <c r="S27"/>
      <c r="T27"/>
    </row>
    <row r="28" spans="1:20">
      <c r="A28" s="21"/>
      <c r="B28" s="628" t="s">
        <v>284</v>
      </c>
      <c r="C28" s="114" t="str">
        <f>'RFPR cover'!$C$14</f>
        <v>£m 09/10</v>
      </c>
      <c r="D28" s="919">
        <f>SUM(D22:D27)</f>
        <v>-11.210051142076001</v>
      </c>
      <c r="E28" s="920">
        <f t="shared" ref="E28:K28" si="5">SUM(E22:E27)</f>
        <v>-5.8754993472266559</v>
      </c>
      <c r="F28" s="920">
        <f t="shared" si="5"/>
        <v>-4.4961849765180828</v>
      </c>
      <c r="G28" s="76">
        <f t="shared" si="5"/>
        <v>8.1677535561689947</v>
      </c>
      <c r="H28" s="76">
        <f t="shared" si="5"/>
        <v>2.0939224806898609</v>
      </c>
      <c r="I28" s="76">
        <f t="shared" si="5"/>
        <v>-1.7623314132031229</v>
      </c>
      <c r="J28" s="76">
        <f t="shared" si="5"/>
        <v>6.526976547231242</v>
      </c>
      <c r="K28" s="76">
        <f t="shared" si="5"/>
        <v>8.8572301042314727</v>
      </c>
      <c r="L28" s="75">
        <f>SUM(D28:INDEX(D28:K28,0,MATCH('RFPR cover'!$C$7,$D$6:$K$6,0)))</f>
        <v>-6.5554142949337644</v>
      </c>
      <c r="M28" s="77">
        <f>SUM(D28:K28)</f>
        <v>2.3018158092977083</v>
      </c>
      <c r="N28" s="46"/>
    </row>
    <row r="29" spans="1:20">
      <c r="A29" s="21"/>
      <c r="B29" s="620"/>
    </row>
    <row r="30" spans="1:20">
      <c r="A30" s="21"/>
      <c r="B30" s="627" t="s">
        <v>285</v>
      </c>
      <c r="C30" s="118" t="str">
        <f>'RFPR cover'!$C$14</f>
        <v>£m 09/10</v>
      </c>
      <c r="D30" s="815">
        <f t="shared" ref="D30:K30" si="6">D28*D16</f>
        <v>-5.9536581615565645</v>
      </c>
      <c r="E30" s="816">
        <f t="shared" si="6"/>
        <v>-3.1204777033120772</v>
      </c>
      <c r="F30" s="816">
        <f t="shared" si="6"/>
        <v>-2.387923841028754</v>
      </c>
      <c r="G30" s="69">
        <f t="shared" si="6"/>
        <v>4.337893913681353</v>
      </c>
      <c r="H30" s="69">
        <f t="shared" si="6"/>
        <v>1.1120822294943851</v>
      </c>
      <c r="I30" s="69">
        <f t="shared" si="6"/>
        <v>-0.93597421355217858</v>
      </c>
      <c r="J30" s="69">
        <f t="shared" si="6"/>
        <v>3.4664772442345129</v>
      </c>
      <c r="K30" s="69">
        <f t="shared" si="6"/>
        <v>4.7040749083573354</v>
      </c>
      <c r="L30" s="68">
        <f>SUM(D30:INDEX(D30:K30,0,MATCH('RFPR cover'!$C$7,$D$6:$K$6,0)))</f>
        <v>-3.4815805320393229</v>
      </c>
      <c r="M30" s="70">
        <f>SUM(D30:K30)</f>
        <v>1.2224943763180125</v>
      </c>
    </row>
    <row r="31" spans="1:20">
      <c r="A31" s="21"/>
      <c r="B31" s="627" t="s">
        <v>286</v>
      </c>
      <c r="C31" s="118" t="str">
        <f>'RFPR cover'!$C$14</f>
        <v>£m 09/10</v>
      </c>
      <c r="D31" s="921">
        <f t="shared" ref="D31:K31" si="7">D28*(1-D16)</f>
        <v>-5.2563929805194363</v>
      </c>
      <c r="E31" s="922">
        <f t="shared" si="7"/>
        <v>-2.7550216439145787</v>
      </c>
      <c r="F31" s="922">
        <f t="shared" si="7"/>
        <v>-2.1082611354893288</v>
      </c>
      <c r="G31" s="66">
        <f t="shared" si="7"/>
        <v>3.8298596424876417</v>
      </c>
      <c r="H31" s="66">
        <f t="shared" si="7"/>
        <v>0.98184025119547569</v>
      </c>
      <c r="I31" s="66">
        <f t="shared" si="7"/>
        <v>-0.82635719965094434</v>
      </c>
      <c r="J31" s="66">
        <f t="shared" si="7"/>
        <v>3.0604993029967291</v>
      </c>
      <c r="K31" s="66">
        <f t="shared" si="7"/>
        <v>4.1531551958741373</v>
      </c>
      <c r="L31" s="65">
        <f>SUM(D31:INDEX(D31:K31,0,MATCH('RFPR cover'!$C$7,$D$6:$K$6,0)))</f>
        <v>-3.0738337628944405</v>
      </c>
      <c r="M31" s="67">
        <f>SUM(D31:K31)</f>
        <v>1.0793214329796967</v>
      </c>
    </row>
    <row r="32" spans="1:20">
      <c r="A32" s="21"/>
      <c r="B32" s="620"/>
    </row>
    <row r="33" spans="1:20">
      <c r="A33" s="21"/>
      <c r="B33" s="628" t="s">
        <v>287</v>
      </c>
    </row>
    <row r="34" spans="1:20">
      <c r="A34" s="21"/>
      <c r="B34" s="620" t="s">
        <v>288</v>
      </c>
      <c r="C34" s="114" t="str">
        <f>'RFPR cover'!$C$14</f>
        <v>£m 09/10</v>
      </c>
      <c r="D34" s="68">
        <f>D18+D30</f>
        <v>0.37176999999999971</v>
      </c>
      <c r="E34" s="69">
        <f t="shared" ref="E34:K34" si="8">E18+E30</f>
        <v>-2.7086100000000002</v>
      </c>
      <c r="F34" s="69">
        <f t="shared" si="8"/>
        <v>-0.15933000000000019</v>
      </c>
      <c r="G34" s="69">
        <f t="shared" si="8"/>
        <v>1.1153099999999996</v>
      </c>
      <c r="H34" s="69">
        <f t="shared" si="8"/>
        <v>-1.27464</v>
      </c>
      <c r="I34" s="69">
        <f t="shared" si="8"/>
        <v>-3.66459</v>
      </c>
      <c r="J34" s="69">
        <f t="shared" si="8"/>
        <v>-8.9310825547761539</v>
      </c>
      <c r="K34" s="69">
        <f t="shared" si="8"/>
        <v>-9.1863764408667947</v>
      </c>
      <c r="L34" s="68">
        <f>SUM(D34:INDEX(D34:K34,0,MATCH('RFPR cover'!$C$7,$D$6:$K$6,0)))</f>
        <v>-15.251172554776154</v>
      </c>
      <c r="M34" s="70">
        <f>SUM(D34:K34)</f>
        <v>-24.437548995642949</v>
      </c>
    </row>
    <row r="35" spans="1:20">
      <c r="A35" s="21"/>
      <c r="B35" s="620" t="s">
        <v>275</v>
      </c>
      <c r="C35" s="114" t="str">
        <f>'RFPR cover'!$C$14</f>
        <v>£m 09/10</v>
      </c>
      <c r="D35" s="71">
        <f>D19+D31</f>
        <v>0.32822999999999958</v>
      </c>
      <c r="E35" s="72">
        <f t="shared" ref="E35:K35" si="9">E19+E31</f>
        <v>-2.3913899999999995</v>
      </c>
      <c r="F35" s="72">
        <f t="shared" si="9"/>
        <v>-0.14066999999999985</v>
      </c>
      <c r="G35" s="72">
        <f t="shared" si="9"/>
        <v>0.98469000000000007</v>
      </c>
      <c r="H35" s="72">
        <f t="shared" si="9"/>
        <v>-1.1253600000000001</v>
      </c>
      <c r="I35" s="72">
        <f t="shared" si="9"/>
        <v>-3.2354100000000003</v>
      </c>
      <c r="J35" s="72">
        <f t="shared" si="9"/>
        <v>-7.8851150629533757</v>
      </c>
      <c r="K35" s="72">
        <f t="shared" si="9"/>
        <v>-8.1105100981405407</v>
      </c>
      <c r="L35" s="71">
        <f>SUM(D35:INDEX(D35:K35,0,MATCH('RFPR cover'!$C$7,$D$6:$K$6,0)))</f>
        <v>-13.465025062953377</v>
      </c>
      <c r="M35" s="73">
        <f>SUM(D35:K35)</f>
        <v>-21.575535161093917</v>
      </c>
    </row>
    <row r="36" spans="1:20">
      <c r="A36" s="21"/>
      <c r="B36" s="628" t="s">
        <v>289</v>
      </c>
      <c r="C36" s="115" t="str">
        <f>'RFPR cover'!$C$14</f>
        <v>£m 09/10</v>
      </c>
      <c r="D36" s="101">
        <f>SUM(D34:D35)</f>
        <v>0.69999999999999929</v>
      </c>
      <c r="E36" s="102">
        <f t="shared" ref="E36:K36" si="10">SUM(E34:E35)</f>
        <v>-5.0999999999999996</v>
      </c>
      <c r="F36" s="102">
        <f t="shared" si="10"/>
        <v>-0.30000000000000004</v>
      </c>
      <c r="G36" s="102">
        <f t="shared" si="10"/>
        <v>2.0999999999999996</v>
      </c>
      <c r="H36" s="102">
        <f t="shared" si="10"/>
        <v>-2.4000000000000004</v>
      </c>
      <c r="I36" s="102">
        <f t="shared" si="10"/>
        <v>-6.9</v>
      </c>
      <c r="J36" s="102">
        <f t="shared" si="10"/>
        <v>-16.816197617729529</v>
      </c>
      <c r="K36" s="102">
        <f t="shared" si="10"/>
        <v>-17.296886539007335</v>
      </c>
      <c r="L36" s="101">
        <f>SUM(D36:INDEX(D36:K36,0,MATCH('RFPR cover'!$C$7,$D$6:$K$6,0)))</f>
        <v>-28.716197617729531</v>
      </c>
      <c r="M36" s="103">
        <f>SUM(D36:K36)</f>
        <v>-46.013084156736866</v>
      </c>
    </row>
    <row r="37" spans="1:20">
      <c r="A37" s="21"/>
      <c r="B37" s="620"/>
      <c r="D37" s="35"/>
      <c r="E37" s="35"/>
      <c r="F37" s="35"/>
      <c r="G37" s="35"/>
      <c r="H37" s="35"/>
      <c r="I37" s="35"/>
      <c r="J37" s="35"/>
    </row>
    <row r="38" spans="1:20">
      <c r="A38" s="21"/>
      <c r="B38" s="623" t="str">
        <f>Data!B51</f>
        <v>n/a</v>
      </c>
      <c r="C38" s="110"/>
      <c r="D38" s="61"/>
      <c r="E38" s="61"/>
      <c r="F38" s="61"/>
      <c r="G38" s="61"/>
      <c r="H38" s="61"/>
      <c r="I38" s="61"/>
      <c r="J38" s="61"/>
      <c r="K38" s="61"/>
      <c r="L38" s="61"/>
      <c r="M38" s="61"/>
      <c r="N38" s="61"/>
    </row>
    <row r="39" spans="1:20" s="21" customFormat="1">
      <c r="B39" s="621"/>
      <c r="C39" s="100"/>
      <c r="D39" s="268"/>
      <c r="E39" s="268"/>
      <c r="F39" s="268"/>
      <c r="G39" s="268"/>
      <c r="H39" s="268"/>
      <c r="I39" s="268"/>
      <c r="J39" s="268"/>
      <c r="K39" s="268"/>
      <c r="L39" s="268"/>
      <c r="M39" s="268"/>
      <c r="N39" s="268"/>
    </row>
    <row r="40" spans="1:20">
      <c r="A40" s="21"/>
      <c r="B40" s="256" t="s">
        <v>270</v>
      </c>
      <c r="C40" s="114" t="str">
        <f>'RFPR cover'!$C$14</f>
        <v>£m 09/10</v>
      </c>
      <c r="D40" s="537"/>
      <c r="E40" s="538"/>
      <c r="F40" s="538"/>
      <c r="G40" s="538"/>
      <c r="H40" s="538"/>
      <c r="I40" s="538"/>
      <c r="J40" s="538"/>
      <c r="K40" s="538"/>
      <c r="L40" s="539">
        <f>SUM(D40:INDEX(D40:K40,0,MATCH('RFPR cover'!$C$7,$D$6:$K$6,0)))</f>
        <v>0</v>
      </c>
      <c r="M40" s="540">
        <f>SUM(D40:K40)</f>
        <v>0</v>
      </c>
      <c r="N40" s="289"/>
      <c r="O40" s="46"/>
    </row>
    <row r="41" spans="1:20" ht="25.5">
      <c r="A41" s="21"/>
      <c r="B41" s="625" t="s">
        <v>271</v>
      </c>
      <c r="C41" s="114" t="str">
        <f>'RFPR cover'!$C$14</f>
        <v>£m 09/10</v>
      </c>
      <c r="D41" s="541"/>
      <c r="E41" s="542"/>
      <c r="F41" s="542"/>
      <c r="G41" s="542"/>
      <c r="H41" s="542"/>
      <c r="I41" s="542"/>
      <c r="J41" s="542"/>
      <c r="K41" s="542"/>
      <c r="L41" s="543">
        <f>SUM(D41:INDEX(D41:K41,0,MATCH('RFPR cover'!$C$7,$D$6:$K$6,0)))</f>
        <v>0</v>
      </c>
      <c r="M41" s="544">
        <f>SUM(D41:K41)</f>
        <v>0</v>
      </c>
      <c r="N41" s="289"/>
      <c r="O41" s="46"/>
    </row>
    <row r="42" spans="1:20">
      <c r="A42" s="21"/>
      <c r="B42" s="626" t="s">
        <v>272</v>
      </c>
      <c r="C42" s="114" t="str">
        <f>'RFPR cover'!$C$14</f>
        <v>£m 09/10</v>
      </c>
      <c r="D42" s="75">
        <f>D41-D40</f>
        <v>0</v>
      </c>
      <c r="E42" s="76">
        <f t="shared" ref="E42:M42" si="11">E41-E40</f>
        <v>0</v>
      </c>
      <c r="F42" s="76">
        <f t="shared" si="11"/>
        <v>0</v>
      </c>
      <c r="G42" s="76">
        <f t="shared" si="11"/>
        <v>0</v>
      </c>
      <c r="H42" s="76">
        <f t="shared" si="11"/>
        <v>0</v>
      </c>
      <c r="I42" s="76">
        <f t="shared" si="11"/>
        <v>0</v>
      </c>
      <c r="J42" s="76">
        <f t="shared" si="11"/>
        <v>0</v>
      </c>
      <c r="K42" s="76">
        <f t="shared" si="11"/>
        <v>0</v>
      </c>
      <c r="L42" s="877">
        <f t="shared" si="11"/>
        <v>0</v>
      </c>
      <c r="M42" s="901">
        <f t="shared" si="11"/>
        <v>0</v>
      </c>
      <c r="N42" s="290"/>
      <c r="O42" s="1003"/>
      <c r="P42" s="1003"/>
      <c r="Q42" s="1003"/>
      <c r="R42"/>
      <c r="S42"/>
      <c r="T42"/>
    </row>
    <row r="43" spans="1:20">
      <c r="A43" s="21"/>
      <c r="B43" s="626"/>
      <c r="C43" s="114"/>
      <c r="D43" s="42"/>
      <c r="E43" s="42"/>
      <c r="F43" s="42"/>
      <c r="G43" s="42"/>
      <c r="H43" s="42"/>
      <c r="I43" s="42"/>
      <c r="J43" s="42"/>
      <c r="K43" s="42"/>
      <c r="L43" s="42"/>
      <c r="M43" s="42"/>
      <c r="N43" s="286"/>
      <c r="O43" s="47"/>
      <c r="P43" s="47"/>
      <c r="Q43" s="47"/>
      <c r="R43"/>
      <c r="S43"/>
      <c r="T43"/>
    </row>
    <row r="44" spans="1:20">
      <c r="A44" s="21"/>
      <c r="B44" s="620" t="s">
        <v>273</v>
      </c>
      <c r="C44" s="98" t="s">
        <v>250</v>
      </c>
      <c r="D44" s="82">
        <f>1-INDEX(Data!$D$73:$D$100,MATCH('RFPR cover'!$C$5,Data!$B$73:$B$100,0),0)</f>
        <v>0.53110000000000002</v>
      </c>
      <c r="E44" s="83">
        <f>1-INDEX(Data!$D$73:$D$100,MATCH('RFPR cover'!$C$5,Data!$B$73:$B$100,0),0)</f>
        <v>0.53110000000000002</v>
      </c>
      <c r="F44" s="83">
        <f>1-INDEX(Data!$D$73:$D$100,MATCH('RFPR cover'!$C$5,Data!$B$73:$B$100,0),0)</f>
        <v>0.53110000000000002</v>
      </c>
      <c r="G44" s="83">
        <f>1-INDEX(Data!$D$73:$D$100,MATCH('RFPR cover'!$C$5,Data!$B$73:$B$100,0),0)</f>
        <v>0.53110000000000002</v>
      </c>
      <c r="H44" s="83">
        <f>1-INDEX(Data!$D$73:$D$100,MATCH('RFPR cover'!$C$5,Data!$B$73:$B$100,0),0)</f>
        <v>0.53110000000000002</v>
      </c>
      <c r="I44" s="83">
        <f>1-INDEX(Data!$D$73:$D$100,MATCH('RFPR cover'!$C$5,Data!$B$73:$B$100,0),0)</f>
        <v>0.53110000000000002</v>
      </c>
      <c r="J44" s="83">
        <f>1-INDEX(Data!$D$73:$D$100,MATCH('RFPR cover'!$C$5,Data!$B$73:$B$100,0),0)</f>
        <v>0.53110000000000002</v>
      </c>
      <c r="K44" s="84">
        <f>1-INDEX(Data!$D$73:$D$100,MATCH('RFPR cover'!$C$5,Data!$B$73:$B$100,0),0)</f>
        <v>0.53110000000000002</v>
      </c>
      <c r="L44" s="45"/>
      <c r="M44" s="45"/>
      <c r="N44" s="287"/>
      <c r="O44"/>
      <c r="P44"/>
      <c r="Q44"/>
      <c r="R44"/>
      <c r="S44"/>
      <c r="T44"/>
    </row>
    <row r="45" spans="1:20">
      <c r="A45" s="21"/>
      <c r="B45" s="620"/>
      <c r="N45" s="288"/>
      <c r="O45"/>
      <c r="P45"/>
      <c r="Q45"/>
      <c r="R45"/>
      <c r="S45"/>
      <c r="T45"/>
    </row>
    <row r="46" spans="1:20">
      <c r="A46" s="21"/>
      <c r="B46" s="627" t="s">
        <v>274</v>
      </c>
      <c r="C46" s="118" t="str">
        <f>'RFPR cover'!$C$14</f>
        <v>£m 09/10</v>
      </c>
      <c r="D46" s="68">
        <f>D42*D44</f>
        <v>0</v>
      </c>
      <c r="E46" s="69">
        <f t="shared" ref="E46:K46" si="12">E42*E44</f>
        <v>0</v>
      </c>
      <c r="F46" s="69">
        <f t="shared" si="12"/>
        <v>0</v>
      </c>
      <c r="G46" s="69">
        <f t="shared" si="12"/>
        <v>0</v>
      </c>
      <c r="H46" s="69">
        <f t="shared" si="12"/>
        <v>0</v>
      </c>
      <c r="I46" s="69">
        <f t="shared" si="12"/>
        <v>0</v>
      </c>
      <c r="J46" s="69">
        <f t="shared" si="12"/>
        <v>0</v>
      </c>
      <c r="K46" s="69">
        <f t="shared" si="12"/>
        <v>0</v>
      </c>
      <c r="L46" s="292">
        <f>SUM(D46:INDEX(D46:K46,0,MATCH('RFPR cover'!$C$7,$D$6:$K$6,0)))</f>
        <v>0</v>
      </c>
      <c r="M46" s="474">
        <f>SUM(D46:K46)</f>
        <v>0</v>
      </c>
      <c r="N46" s="290"/>
      <c r="O46"/>
      <c r="P46"/>
      <c r="Q46"/>
      <c r="R46"/>
      <c r="S46"/>
      <c r="T46"/>
    </row>
    <row r="47" spans="1:20">
      <c r="A47" s="21"/>
      <c r="B47" s="627" t="s">
        <v>275</v>
      </c>
      <c r="C47" s="118" t="str">
        <f>'RFPR cover'!$C$14</f>
        <v>£m 09/10</v>
      </c>
      <c r="D47" s="476">
        <f>D42*(1-D44)</f>
        <v>0</v>
      </c>
      <c r="E47" s="477">
        <f t="shared" ref="E47:K47" si="13">E42*(1-E44)</f>
        <v>0</v>
      </c>
      <c r="F47" s="477">
        <f t="shared" si="13"/>
        <v>0</v>
      </c>
      <c r="G47" s="477">
        <f t="shared" si="13"/>
        <v>0</v>
      </c>
      <c r="H47" s="477">
        <f t="shared" si="13"/>
        <v>0</v>
      </c>
      <c r="I47" s="477">
        <f t="shared" si="13"/>
        <v>0</v>
      </c>
      <c r="J47" s="477">
        <f t="shared" si="13"/>
        <v>0</v>
      </c>
      <c r="K47" s="477">
        <f t="shared" si="13"/>
        <v>0</v>
      </c>
      <c r="L47" s="478">
        <f>SUM(D47:INDEX(D47:K47,0,MATCH('RFPR cover'!$C$7,$D$6:$K$6,0)))</f>
        <v>0</v>
      </c>
      <c r="M47" s="479">
        <f>SUM(D47:K47)</f>
        <v>0</v>
      </c>
      <c r="N47" s="290"/>
      <c r="O47"/>
      <c r="P47"/>
      <c r="Q47"/>
      <c r="R47"/>
      <c r="S47"/>
      <c r="T47"/>
    </row>
    <row r="48" spans="1:20">
      <c r="A48" s="21"/>
      <c r="B48" s="620"/>
      <c r="N48" s="288"/>
      <c r="O48"/>
      <c r="P48"/>
      <c r="Q48"/>
      <c r="R48"/>
      <c r="S48"/>
      <c r="T48"/>
    </row>
    <row r="49" spans="1:20">
      <c r="A49" s="21"/>
      <c r="B49" s="628" t="s">
        <v>276</v>
      </c>
      <c r="N49" s="288"/>
      <c r="O49"/>
      <c r="P49"/>
      <c r="Q49"/>
      <c r="R49"/>
      <c r="S49"/>
      <c r="T49"/>
    </row>
    <row r="50" spans="1:20">
      <c r="A50" s="223" t="s">
        <v>277</v>
      </c>
      <c r="B50" s="618" t="s">
        <v>280</v>
      </c>
      <c r="C50" s="114" t="str">
        <f>'RFPR cover'!$C$14</f>
        <v>£m 09/10</v>
      </c>
      <c r="D50" s="480"/>
      <c r="E50" s="481"/>
      <c r="F50" s="481"/>
      <c r="G50" s="481"/>
      <c r="H50" s="481"/>
      <c r="I50" s="481"/>
      <c r="J50" s="481"/>
      <c r="K50" s="481"/>
      <c r="L50" s="545">
        <f>SUM(D50:INDEX(D50:K50,0,MATCH('RFPR cover'!$C$7,$D$6:$K$6,0)))</f>
        <v>0</v>
      </c>
      <c r="M50" s="546">
        <f t="shared" ref="M50:M56" si="14">SUM(D50:K50)</f>
        <v>0</v>
      </c>
      <c r="N50" s="471"/>
      <c r="O50"/>
      <c r="P50"/>
      <c r="Q50"/>
      <c r="R50"/>
      <c r="S50"/>
      <c r="T50"/>
    </row>
    <row r="51" spans="1:20">
      <c r="A51" s="223" t="s">
        <v>278</v>
      </c>
      <c r="B51" s="618" t="s">
        <v>280</v>
      </c>
      <c r="C51" s="114" t="str">
        <f>'RFPR cover'!$C$14</f>
        <v>£m 09/10</v>
      </c>
      <c r="D51" s="484"/>
      <c r="E51" s="485"/>
      <c r="F51" s="485"/>
      <c r="G51" s="485"/>
      <c r="H51" s="485"/>
      <c r="I51" s="485"/>
      <c r="J51" s="485"/>
      <c r="K51" s="485"/>
      <c r="L51" s="547">
        <f>SUM(D51:INDEX(D51:K51,0,MATCH('RFPR cover'!$C$7,$D$6:$K$6,0)))</f>
        <v>0</v>
      </c>
      <c r="M51" s="548">
        <f t="shared" si="14"/>
        <v>0</v>
      </c>
      <c r="N51" s="472"/>
      <c r="O51"/>
      <c r="P51"/>
      <c r="Q51"/>
      <c r="R51"/>
      <c r="S51"/>
      <c r="T51"/>
    </row>
    <row r="52" spans="1:20">
      <c r="A52" s="223" t="s">
        <v>279</v>
      </c>
      <c r="B52" s="618" t="s">
        <v>280</v>
      </c>
      <c r="C52" s="114" t="str">
        <f>'RFPR cover'!$C$14</f>
        <v>£m 09/10</v>
      </c>
      <c r="D52" s="484"/>
      <c r="E52" s="485"/>
      <c r="F52" s="485"/>
      <c r="G52" s="485"/>
      <c r="H52" s="485"/>
      <c r="I52" s="485"/>
      <c r="J52" s="485"/>
      <c r="K52" s="485"/>
      <c r="L52" s="547">
        <f>SUM(D52:INDEX(D52:K52,0,MATCH('RFPR cover'!$C$7,$D$6:$K$6,0)))</f>
        <v>0</v>
      </c>
      <c r="M52" s="548">
        <f t="shared" si="14"/>
        <v>0</v>
      </c>
      <c r="N52" s="472"/>
      <c r="O52"/>
      <c r="P52"/>
      <c r="Q52"/>
      <c r="R52"/>
      <c r="S52" s="48"/>
      <c r="T52"/>
    </row>
    <row r="53" spans="1:20">
      <c r="A53" s="223" t="s">
        <v>281</v>
      </c>
      <c r="B53" s="618" t="s">
        <v>280</v>
      </c>
      <c r="C53" s="114" t="str">
        <f>'RFPR cover'!$C$14</f>
        <v>£m 09/10</v>
      </c>
      <c r="D53" s="484"/>
      <c r="E53" s="485"/>
      <c r="F53" s="485"/>
      <c r="G53" s="485"/>
      <c r="H53" s="485"/>
      <c r="I53" s="485"/>
      <c r="J53" s="485"/>
      <c r="K53" s="485"/>
      <c r="L53" s="547">
        <f>SUM(D53:INDEX(D53:K53,0,MATCH('RFPR cover'!$C$7,$D$6:$K$6,0)))</f>
        <v>0</v>
      </c>
      <c r="M53" s="548">
        <f t="shared" si="14"/>
        <v>0</v>
      </c>
      <c r="N53" s="472"/>
      <c r="O53"/>
      <c r="P53"/>
      <c r="Q53"/>
      <c r="R53"/>
      <c r="S53"/>
      <c r="T53"/>
    </row>
    <row r="54" spans="1:20">
      <c r="A54" s="223" t="s">
        <v>282</v>
      </c>
      <c r="B54" s="618" t="s">
        <v>280</v>
      </c>
      <c r="C54" s="114" t="str">
        <f>'RFPR cover'!$C$14</f>
        <v>£m 09/10</v>
      </c>
      <c r="D54" s="484"/>
      <c r="E54" s="485"/>
      <c r="F54" s="485"/>
      <c r="G54" s="485"/>
      <c r="H54" s="485"/>
      <c r="I54" s="485"/>
      <c r="J54" s="485"/>
      <c r="K54" s="485"/>
      <c r="L54" s="547">
        <f>SUM(D54:INDEX(D54:K54,0,MATCH('RFPR cover'!$C$7,$D$6:$K$6,0)))</f>
        <v>0</v>
      </c>
      <c r="M54" s="548">
        <f t="shared" si="14"/>
        <v>0</v>
      </c>
      <c r="N54" s="472"/>
      <c r="O54"/>
      <c r="P54"/>
      <c r="Q54"/>
      <c r="R54"/>
      <c r="S54"/>
      <c r="T54"/>
    </row>
    <row r="55" spans="1:20">
      <c r="A55" s="223" t="s">
        <v>283</v>
      </c>
      <c r="B55" s="618" t="s">
        <v>280</v>
      </c>
      <c r="C55" s="114" t="str">
        <f>'RFPR cover'!$C$14</f>
        <v>£m 09/10</v>
      </c>
      <c r="D55" s="488"/>
      <c r="E55" s="489"/>
      <c r="F55" s="489"/>
      <c r="G55" s="489"/>
      <c r="H55" s="489"/>
      <c r="I55" s="489"/>
      <c r="J55" s="489"/>
      <c r="K55" s="489"/>
      <c r="L55" s="549">
        <f>SUM(D55:INDEX(D55:K55,0,MATCH('RFPR cover'!$C$7,$D$6:$K$6,0)))</f>
        <v>0</v>
      </c>
      <c r="M55" s="550">
        <f t="shared" si="14"/>
        <v>0</v>
      </c>
      <c r="N55" s="473"/>
      <c r="O55"/>
      <c r="P55"/>
      <c r="Q55"/>
      <c r="R55"/>
      <c r="S55"/>
      <c r="T55"/>
    </row>
    <row r="56" spans="1:20">
      <c r="A56" s="21"/>
      <c r="B56" s="628" t="s">
        <v>284</v>
      </c>
      <c r="C56" s="114" t="str">
        <f>'RFPR cover'!$C$14</f>
        <v>£m 09/10</v>
      </c>
      <c r="D56" s="75">
        <f>SUM(D50:D55)</f>
        <v>0</v>
      </c>
      <c r="E56" s="76">
        <f t="shared" ref="E56:K56" si="15">SUM(E50:E55)</f>
        <v>0</v>
      </c>
      <c r="F56" s="76">
        <f t="shared" si="15"/>
        <v>0</v>
      </c>
      <c r="G56" s="76">
        <f t="shared" si="15"/>
        <v>0</v>
      </c>
      <c r="H56" s="76">
        <f t="shared" si="15"/>
        <v>0</v>
      </c>
      <c r="I56" s="76">
        <f t="shared" si="15"/>
        <v>0</v>
      </c>
      <c r="J56" s="76">
        <f t="shared" si="15"/>
        <v>0</v>
      </c>
      <c r="K56" s="76">
        <f t="shared" si="15"/>
        <v>0</v>
      </c>
      <c r="L56" s="877">
        <f>SUM(D56:INDEX(D56:K56,0,MATCH('RFPR cover'!$C$7,$D$6:$K$6,0)))</f>
        <v>0</v>
      </c>
      <c r="M56" s="901">
        <f t="shared" si="14"/>
        <v>0</v>
      </c>
      <c r="N56" s="290"/>
    </row>
    <row r="57" spans="1:20">
      <c r="A57" s="21"/>
      <c r="B57" s="620"/>
      <c r="N57" s="288"/>
    </row>
    <row r="58" spans="1:20">
      <c r="A58" s="21"/>
      <c r="B58" s="627" t="s">
        <v>285</v>
      </c>
      <c r="C58" s="118" t="str">
        <f>'RFPR cover'!$C$14</f>
        <v>£m 09/10</v>
      </c>
      <c r="D58" s="68">
        <f t="shared" ref="D58:K58" si="16">D56*D44</f>
        <v>0</v>
      </c>
      <c r="E58" s="69">
        <f t="shared" si="16"/>
        <v>0</v>
      </c>
      <c r="F58" s="69">
        <f t="shared" si="16"/>
        <v>0</v>
      </c>
      <c r="G58" s="69">
        <f t="shared" si="16"/>
        <v>0</v>
      </c>
      <c r="H58" s="69">
        <f t="shared" si="16"/>
        <v>0</v>
      </c>
      <c r="I58" s="69">
        <f t="shared" si="16"/>
        <v>0</v>
      </c>
      <c r="J58" s="69">
        <f t="shared" si="16"/>
        <v>0</v>
      </c>
      <c r="K58" s="69">
        <f t="shared" si="16"/>
        <v>0</v>
      </c>
      <c r="L58" s="292">
        <f>SUM(D58:INDEX(D58:K58,0,MATCH('RFPR cover'!$C$7,$D$6:$K$6,0)))</f>
        <v>0</v>
      </c>
      <c r="M58" s="474">
        <f>SUM(D58:K58)</f>
        <v>0</v>
      </c>
      <c r="N58" s="290"/>
    </row>
    <row r="59" spans="1:20">
      <c r="A59" s="21"/>
      <c r="B59" s="627" t="s">
        <v>286</v>
      </c>
      <c r="C59" s="118" t="str">
        <f>'RFPR cover'!$C$14</f>
        <v>£m 09/10</v>
      </c>
      <c r="D59" s="65">
        <f t="shared" ref="D59:K59" si="17">D56*(1-D44)</f>
        <v>0</v>
      </c>
      <c r="E59" s="66">
        <f t="shared" si="17"/>
        <v>0</v>
      </c>
      <c r="F59" s="66">
        <f t="shared" si="17"/>
        <v>0</v>
      </c>
      <c r="G59" s="66">
        <f t="shared" si="17"/>
        <v>0</v>
      </c>
      <c r="H59" s="66">
        <f t="shared" si="17"/>
        <v>0</v>
      </c>
      <c r="I59" s="66">
        <f t="shared" si="17"/>
        <v>0</v>
      </c>
      <c r="J59" s="66">
        <f t="shared" si="17"/>
        <v>0</v>
      </c>
      <c r="K59" s="66">
        <f t="shared" si="17"/>
        <v>0</v>
      </c>
      <c r="L59" s="293">
        <f>SUM(D59:INDEX(D59:K59,0,MATCH('RFPR cover'!$C$7,$D$6:$K$6,0)))</f>
        <v>0</v>
      </c>
      <c r="M59" s="475">
        <f>SUM(D59:K59)</f>
        <v>0</v>
      </c>
      <c r="N59" s="290"/>
    </row>
    <row r="60" spans="1:20">
      <c r="A60" s="21"/>
      <c r="B60" s="620"/>
      <c r="N60" s="288"/>
    </row>
    <row r="61" spans="1:20">
      <c r="A61" s="21"/>
      <c r="B61" s="628" t="s">
        <v>287</v>
      </c>
      <c r="N61" s="288"/>
    </row>
    <row r="62" spans="1:20">
      <c r="A62" s="21"/>
      <c r="B62" s="620" t="s">
        <v>288</v>
      </c>
      <c r="C62" s="114" t="str">
        <f>'RFPR cover'!$C$14</f>
        <v>£m 09/10</v>
      </c>
      <c r="D62" s="68">
        <f>D46+D58</f>
        <v>0</v>
      </c>
      <c r="E62" s="69">
        <f t="shared" ref="E62:K62" si="18">E46+E58</f>
        <v>0</v>
      </c>
      <c r="F62" s="69">
        <f t="shared" si="18"/>
        <v>0</v>
      </c>
      <c r="G62" s="69">
        <f t="shared" si="18"/>
        <v>0</v>
      </c>
      <c r="H62" s="69">
        <f t="shared" si="18"/>
        <v>0</v>
      </c>
      <c r="I62" s="69">
        <f t="shared" si="18"/>
        <v>0</v>
      </c>
      <c r="J62" s="69">
        <f t="shared" si="18"/>
        <v>0</v>
      </c>
      <c r="K62" s="69">
        <f t="shared" si="18"/>
        <v>0</v>
      </c>
      <c r="L62" s="292">
        <f>SUM(D62:INDEX(D62:K62,0,MATCH('RFPR cover'!$C$7,$D$6:$K$6,0)))</f>
        <v>0</v>
      </c>
      <c r="M62" s="474">
        <f>SUM(D62:K62)</f>
        <v>0</v>
      </c>
      <c r="N62" s="290"/>
    </row>
    <row r="63" spans="1:20">
      <c r="A63" s="21"/>
      <c r="B63" s="620" t="s">
        <v>275</v>
      </c>
      <c r="C63" s="114" t="str">
        <f>'RFPR cover'!$C$14</f>
        <v>£m 09/10</v>
      </c>
      <c r="D63" s="71">
        <f>D47+D59</f>
        <v>0</v>
      </c>
      <c r="E63" s="72">
        <f t="shared" ref="E63:K63" si="19">E47+E59</f>
        <v>0</v>
      </c>
      <c r="F63" s="72">
        <f t="shared" si="19"/>
        <v>0</v>
      </c>
      <c r="G63" s="72">
        <f t="shared" si="19"/>
        <v>0</v>
      </c>
      <c r="H63" s="72">
        <f t="shared" si="19"/>
        <v>0</v>
      </c>
      <c r="I63" s="72">
        <f t="shared" si="19"/>
        <v>0</v>
      </c>
      <c r="J63" s="72">
        <f t="shared" si="19"/>
        <v>0</v>
      </c>
      <c r="K63" s="72">
        <f t="shared" si="19"/>
        <v>0</v>
      </c>
      <c r="L63" s="294">
        <f>SUM(D63:INDEX(D63:K63,0,MATCH('RFPR cover'!$C$7,$D$6:$K$6,0)))</f>
        <v>0</v>
      </c>
      <c r="M63" s="475">
        <f>SUM(D63:K63)</f>
        <v>0</v>
      </c>
      <c r="N63" s="290"/>
    </row>
    <row r="64" spans="1:20">
      <c r="A64" s="21"/>
      <c r="B64" s="628" t="s">
        <v>289</v>
      </c>
      <c r="C64" s="115" t="str">
        <f>'RFPR cover'!$C$14</f>
        <v>£m 09/10</v>
      </c>
      <c r="D64" s="101">
        <f>SUM(D62:D63)</f>
        <v>0</v>
      </c>
      <c r="E64" s="102">
        <f t="shared" ref="E64:K64" si="20">SUM(E62:E63)</f>
        <v>0</v>
      </c>
      <c r="F64" s="102">
        <f t="shared" si="20"/>
        <v>0</v>
      </c>
      <c r="G64" s="102">
        <f t="shared" si="20"/>
        <v>0</v>
      </c>
      <c r="H64" s="102">
        <f t="shared" si="20"/>
        <v>0</v>
      </c>
      <c r="I64" s="102">
        <f t="shared" si="20"/>
        <v>0</v>
      </c>
      <c r="J64" s="102">
        <f t="shared" si="20"/>
        <v>0</v>
      </c>
      <c r="K64" s="102">
        <f t="shared" si="20"/>
        <v>0</v>
      </c>
      <c r="L64" s="295">
        <f>SUM(D64:INDEX(D64:K64,0,MATCH('RFPR cover'!$C$7,$D$6:$K$6,0)))</f>
        <v>0</v>
      </c>
      <c r="M64" s="937">
        <f>SUM(D64:K64)</f>
        <v>0</v>
      </c>
      <c r="N64" s="291"/>
    </row>
    <row r="65" spans="1:20">
      <c r="A65" s="21"/>
      <c r="B65" s="628"/>
      <c r="C65" s="115"/>
      <c r="D65" s="115"/>
      <c r="E65" s="115"/>
      <c r="F65" s="115"/>
      <c r="G65" s="115"/>
      <c r="H65" s="115"/>
      <c r="I65" s="115"/>
      <c r="J65" s="115"/>
      <c r="K65" s="115"/>
      <c r="L65" s="115"/>
      <c r="M65" s="115"/>
    </row>
    <row r="66" spans="1:20">
      <c r="A66" s="21"/>
      <c r="B66" s="623" t="s">
        <v>290</v>
      </c>
      <c r="C66" s="110"/>
      <c r="D66" s="61"/>
      <c r="E66" s="61"/>
      <c r="F66" s="61"/>
      <c r="G66" s="61"/>
      <c r="H66" s="61"/>
      <c r="I66" s="61"/>
      <c r="J66" s="61"/>
      <c r="K66" s="61"/>
      <c r="L66" s="61"/>
      <c r="M66" s="61"/>
      <c r="N66" s="61"/>
    </row>
    <row r="67" spans="1:20">
      <c r="A67" s="21"/>
      <c r="B67" s="620"/>
      <c r="O67"/>
      <c r="P67"/>
      <c r="Q67"/>
      <c r="R67"/>
      <c r="S67"/>
      <c r="T67"/>
    </row>
    <row r="68" spans="1:20">
      <c r="A68" s="21"/>
      <c r="B68" s="628" t="s">
        <v>287</v>
      </c>
    </row>
    <row r="69" spans="1:20">
      <c r="A69" s="21"/>
      <c r="B69" s="620" t="s">
        <v>288</v>
      </c>
      <c r="C69" s="114" t="str">
        <f>'RFPR cover'!$C$14</f>
        <v>£m 09/10</v>
      </c>
      <c r="D69" s="68">
        <f>D34+D62</f>
        <v>0.37176999999999971</v>
      </c>
      <c r="E69" s="69">
        <f t="shared" ref="E69:K69" si="21">E34+E62</f>
        <v>-2.7086100000000002</v>
      </c>
      <c r="F69" s="69">
        <f t="shared" si="21"/>
        <v>-0.15933000000000019</v>
      </c>
      <c r="G69" s="69">
        <f t="shared" si="21"/>
        <v>1.1153099999999996</v>
      </c>
      <c r="H69" s="69">
        <f t="shared" si="21"/>
        <v>-1.27464</v>
      </c>
      <c r="I69" s="69">
        <f t="shared" si="21"/>
        <v>-3.66459</v>
      </c>
      <c r="J69" s="69">
        <f t="shared" si="21"/>
        <v>-8.9310825547761539</v>
      </c>
      <c r="K69" s="69">
        <f t="shared" si="21"/>
        <v>-9.1863764408667947</v>
      </c>
      <c r="L69" s="68">
        <f>SUM(D69:INDEX(D69:K69,0,MATCH('RFPR cover'!$C$7,$D$6:$K$6,0)))</f>
        <v>-15.251172554776154</v>
      </c>
      <c r="M69" s="70">
        <f>SUM(D69:K69)</f>
        <v>-24.437548995642949</v>
      </c>
    </row>
    <row r="70" spans="1:20">
      <c r="A70" s="21"/>
      <c r="B70" s="620" t="s">
        <v>275</v>
      </c>
      <c r="C70" s="114" t="str">
        <f>'RFPR cover'!$C$14</f>
        <v>£m 09/10</v>
      </c>
      <c r="D70" s="423">
        <f t="shared" ref="D70:K70" si="22">D35+D63</f>
        <v>0.32822999999999958</v>
      </c>
      <c r="E70" s="424">
        <f t="shared" si="22"/>
        <v>-2.3913899999999995</v>
      </c>
      <c r="F70" s="424">
        <f t="shared" si="22"/>
        <v>-0.14066999999999985</v>
      </c>
      <c r="G70" s="424">
        <f t="shared" si="22"/>
        <v>0.98469000000000007</v>
      </c>
      <c r="H70" s="424">
        <f t="shared" si="22"/>
        <v>-1.1253600000000001</v>
      </c>
      <c r="I70" s="424">
        <f t="shared" si="22"/>
        <v>-3.2354100000000003</v>
      </c>
      <c r="J70" s="424">
        <f t="shared" si="22"/>
        <v>-7.8851150629533757</v>
      </c>
      <c r="K70" s="424">
        <f t="shared" si="22"/>
        <v>-8.1105100981405407</v>
      </c>
      <c r="L70" s="423">
        <f>SUM(D70:INDEX(D70:K70,0,MATCH('RFPR cover'!$C$7,$D$6:$K$6,0)))</f>
        <v>-13.465025062953377</v>
      </c>
      <c r="M70" s="425">
        <f>SUM(D70:K70)</f>
        <v>-21.575535161093917</v>
      </c>
    </row>
    <row r="71" spans="1:20">
      <c r="A71" s="21"/>
      <c r="B71" s="628" t="s">
        <v>289</v>
      </c>
      <c r="C71" s="115" t="str">
        <f>'RFPR cover'!$C$14</f>
        <v>£m 09/10</v>
      </c>
      <c r="D71" s="107">
        <f>SUM(D69:D70)</f>
        <v>0.69999999999999929</v>
      </c>
      <c r="E71" s="108">
        <f t="shared" ref="E71:K71" si="23">SUM(E69:E70)</f>
        <v>-5.0999999999999996</v>
      </c>
      <c r="F71" s="108">
        <f t="shared" si="23"/>
        <v>-0.30000000000000004</v>
      </c>
      <c r="G71" s="108">
        <f t="shared" si="23"/>
        <v>2.0999999999999996</v>
      </c>
      <c r="H71" s="108">
        <f t="shared" si="23"/>
        <v>-2.4000000000000004</v>
      </c>
      <c r="I71" s="108">
        <f t="shared" si="23"/>
        <v>-6.9</v>
      </c>
      <c r="J71" s="108">
        <f t="shared" si="23"/>
        <v>-16.816197617729529</v>
      </c>
      <c r="K71" s="108">
        <f t="shared" si="23"/>
        <v>-17.296886539007335</v>
      </c>
      <c r="L71" s="107">
        <f>SUM(D71:INDEX(D71:K71,0,MATCH('RFPR cover'!$C$7,$D$6:$K$6,0)))</f>
        <v>-28.716197617729531</v>
      </c>
      <c r="M71" s="109">
        <f>SUM(D71:K71)</f>
        <v>-46.013084156736866</v>
      </c>
    </row>
    <row r="72" spans="1:20">
      <c r="A72" s="21"/>
      <c r="B72" s="628"/>
      <c r="C72" s="115"/>
      <c r="D72" s="115"/>
      <c r="E72" s="115"/>
      <c r="F72" s="115"/>
      <c r="G72" s="115"/>
      <c r="H72" s="115"/>
      <c r="I72" s="115"/>
      <c r="J72" s="115"/>
      <c r="K72" s="115"/>
      <c r="L72" s="115"/>
      <c r="M72" s="115"/>
    </row>
    <row r="73" spans="1:20">
      <c r="A73" s="21"/>
      <c r="B73" s="620"/>
    </row>
    <row r="74" spans="1:20">
      <c r="A74" s="21"/>
      <c r="B74" s="623" t="s">
        <v>116</v>
      </c>
      <c r="C74" s="110"/>
      <c r="D74" s="60"/>
      <c r="E74" s="60"/>
      <c r="F74" s="60"/>
      <c r="G74" s="60"/>
      <c r="H74" s="60"/>
      <c r="I74" s="60"/>
      <c r="J74" s="60"/>
      <c r="K74" s="60"/>
      <c r="L74" s="60"/>
      <c r="M74" s="60"/>
      <c r="N74" s="60"/>
    </row>
    <row r="75" spans="1:20">
      <c r="A75" s="21"/>
      <c r="B75" s="300" t="s">
        <v>291</v>
      </c>
      <c r="C75" s="299"/>
      <c r="D75" s="299"/>
      <c r="E75" s="299"/>
      <c r="F75" s="299"/>
      <c r="G75" s="299"/>
      <c r="H75" s="299"/>
      <c r="I75" s="299"/>
      <c r="J75" s="299"/>
      <c r="K75" s="299"/>
      <c r="L75" s="299"/>
      <c r="M75" s="299"/>
      <c r="N75" s="299"/>
    </row>
    <row r="76" spans="1:20" s="21" customFormat="1">
      <c r="B76" s="346"/>
      <c r="C76" s="304"/>
      <c r="D76" s="304"/>
      <c r="E76" s="304"/>
      <c r="F76" s="304"/>
      <c r="G76" s="304"/>
      <c r="H76" s="304"/>
      <c r="I76" s="304"/>
      <c r="J76" s="304"/>
      <c r="K76" s="304"/>
      <c r="L76" s="304"/>
      <c r="M76" s="304"/>
      <c r="N76" s="304"/>
    </row>
    <row r="77" spans="1:20">
      <c r="A77" s="21"/>
      <c r="B77" s="627" t="s">
        <v>292</v>
      </c>
      <c r="C77" s="114" t="str">
        <f>'RFPR cover'!$C$14</f>
        <v>£m 09/10</v>
      </c>
      <c r="D77" s="551">
        <f>INDEX(Data!$C$119:$L$146,MATCH('RFPR cover'!$C$5,Data!$B$119:$B$146,0),MATCH('R4 - Totex'!D$6,Data!$C$118:$L$118,0))</f>
        <v>0.93219394583370063</v>
      </c>
      <c r="E77" s="552">
        <f>INDEX(Data!$C$119:$L$146,MATCH('RFPR cover'!$C$5,Data!$B$119:$B$146,0),MATCH('R4 - Totex'!E$6,Data!$C$118:$L$118,0))</f>
        <v>0.89969793099769957</v>
      </c>
      <c r="F77" s="552">
        <f>INDEX(Data!$C$119:$L$146,MATCH('RFPR cover'!$C$5,Data!$B$119:$B$146,0),MATCH('R4 - Totex'!F$6,Data!$C$118:$L$118,0))</f>
        <v>0.87783267686821997</v>
      </c>
      <c r="G77" s="552">
        <f>INDEX(Data!$C$119:$L$146,MATCH('RFPR cover'!$C$5,Data!$B$119:$B$146,0),MATCH('R4 - Totex'!G$6,Data!$C$118:$L$118,0))</f>
        <v>0.87232109317784756</v>
      </c>
      <c r="H77" s="552">
        <f>INDEX(Data!$C$119:$L$146,MATCH('RFPR cover'!$C$5,Data!$B$119:$B$146,0),MATCH('R4 - Totex'!H$6,Data!$C$118:$L$118,0))</f>
        <v>0.89875958568159287</v>
      </c>
      <c r="I77" s="552">
        <f>INDEX(Data!$C$119:$L$146,MATCH('RFPR cover'!$C$5,Data!$B$119:$B$146,0),MATCH('R4 - Totex'!I$6,Data!$C$118:$L$118,0))</f>
        <v>0.82801710222961222</v>
      </c>
      <c r="J77" s="552">
        <f>INDEX(Data!$C$119:$L$146,MATCH('RFPR cover'!$C$5,Data!$B$119:$B$146,0),MATCH('R4 - Totex'!J$6,Data!$C$118:$L$118,0))</f>
        <v>0.88417658562860901</v>
      </c>
      <c r="K77" s="553">
        <f>INDEX(Data!$C$119:$L$146,MATCH('RFPR cover'!$C$5,Data!$B$119:$B$146,0),MATCH('R4 - Totex'!K$6,Data!$C$118:$L$118,0))</f>
        <v>0.89982415652833247</v>
      </c>
      <c r="L77" s="71">
        <f>SUM(D77:INDEX(D77:K77,0,MATCH('RFPR cover'!$C$7,$D$6:$K$6,0)))</f>
        <v>6.1929989204172813</v>
      </c>
      <c r="M77" s="73">
        <f>SUM(D77:K77)</f>
        <v>7.0928230769456135</v>
      </c>
    </row>
    <row r="78" spans="1:20">
      <c r="A78" s="21"/>
      <c r="B78" s="183" t="s">
        <v>293</v>
      </c>
      <c r="C78" s="114" t="s">
        <v>250</v>
      </c>
      <c r="D78" s="705">
        <f>IF(INDEX(Data!$J$73:$J$100,MATCH('RFPR cover'!$C$5,Data!$B$73:$B$100,0),0)="Pre",INDEX(Data!$G$18:$G$27,MATCH('R4 - Totex'!D$6,Data!$C$18:$C$27,0),0),"n/a")</f>
        <v>0.23</v>
      </c>
      <c r="E78" s="705">
        <f>IF(INDEX(Data!$J$73:$J$100,MATCH('RFPR cover'!$C$5,Data!$B$73:$B$100,0),0)="Pre",INDEX(Data!$G$18:$G$27,MATCH('R4 - Totex'!E$6,Data!$C$18:$C$27,0),0),"n/a")</f>
        <v>0.21</v>
      </c>
      <c r="F78" s="705">
        <f>IF(INDEX(Data!$J$73:$J$100,MATCH('RFPR cover'!$C$5,Data!$B$73:$B$100,0),0)="Pre",INDEX(Data!$G$18:$G$27,MATCH('R4 - Totex'!F$6,Data!$C$18:$C$27,0),0),"n/a")</f>
        <v>0.2</v>
      </c>
      <c r="G78" s="705">
        <f>IF(INDEX(Data!$J$73:$J$100,MATCH('RFPR cover'!$C$5,Data!$B$73:$B$100,0),0)="Pre",INDEX(Data!$G$18:$G$27,MATCH('R4 - Totex'!G$6,Data!$C$18:$C$27,0),0),"n/a")</f>
        <v>0.2</v>
      </c>
      <c r="H78" s="705">
        <f>IF(INDEX(Data!$J$73:$J$100,MATCH('RFPR cover'!$C$5,Data!$B$73:$B$100,0),0)="Pre",INDEX(Data!$G$18:$G$27,MATCH('R4 - Totex'!H$6,Data!$C$18:$C$27,0),0),"n/a")</f>
        <v>0.19</v>
      </c>
      <c r="I78" s="705">
        <f>IF(INDEX(Data!$J$73:$J$100,MATCH('RFPR cover'!$C$5,Data!$B$73:$B$100,0),0)="Pre",INDEX(Data!$G$18:$G$27,MATCH('R4 - Totex'!I$6,Data!$C$18:$C$27,0),0),"n/a")</f>
        <v>0.19</v>
      </c>
      <c r="J78" s="705">
        <f>IF(INDEX(Data!$J$73:$J$100,MATCH('RFPR cover'!$C$5,Data!$B$73:$B$100,0),0)="Pre",INDEX(Data!$G$18:$G$27,MATCH('R4 - Totex'!J$6,Data!$C$18:$C$27,0),0),"n/a")</f>
        <v>0.19</v>
      </c>
      <c r="K78" s="705">
        <f>IF(INDEX(Data!$J$73:$J$100,MATCH('RFPR cover'!$C$5,Data!$B$73:$B$100,0),0)="Pre",INDEX(Data!$G$18:$G$27,MATCH('R4 - Totex'!K$6,Data!$C$18:$C$27,0),0),"n/a")</f>
        <v>0.19</v>
      </c>
      <c r="L78" s="703"/>
      <c r="M78" s="704"/>
    </row>
    <row r="79" spans="1:20">
      <c r="A79" s="21"/>
      <c r="B79" s="183" t="s">
        <v>294</v>
      </c>
      <c r="C79" s="114" t="str">
        <f>'RFPR cover'!$C$14</f>
        <v>£m 09/10</v>
      </c>
      <c r="D79" s="508">
        <f>IF(ISNUMBER(D78),D77*(1-D78),D77)</f>
        <v>0.71778933829194946</v>
      </c>
      <c r="E79" s="509">
        <f t="shared" ref="E79:K79" si="24">IF(ISNUMBER(E78),E77*(1-E78),E77)</f>
        <v>0.71076136548818269</v>
      </c>
      <c r="F79" s="509">
        <f t="shared" si="24"/>
        <v>0.702266141494576</v>
      </c>
      <c r="G79" s="509">
        <f t="shared" si="24"/>
        <v>0.69785687454227807</v>
      </c>
      <c r="H79" s="509">
        <f t="shared" si="24"/>
        <v>0.72799526440209028</v>
      </c>
      <c r="I79" s="509">
        <f t="shared" si="24"/>
        <v>0.67069385280598592</v>
      </c>
      <c r="J79" s="509">
        <f t="shared" si="24"/>
        <v>0.7161830343591733</v>
      </c>
      <c r="K79" s="510">
        <f t="shared" si="24"/>
        <v>0.72885756678794933</v>
      </c>
      <c r="L79" s="554">
        <f>SUM(D79:INDEX(D79:K79,0,MATCH('RFPR cover'!$C$7,$D$6:$K$6,0)))</f>
        <v>4.9435458713842362</v>
      </c>
      <c r="M79" s="555">
        <f>SUM(D79:K79)</f>
        <v>5.6724034381721857</v>
      </c>
    </row>
    <row r="80" spans="1:20">
      <c r="A80" s="21"/>
      <c r="B80" s="183"/>
      <c r="C80" s="49"/>
      <c r="D80" s="235"/>
      <c r="E80" s="235"/>
      <c r="F80" s="235"/>
      <c r="G80" s="235"/>
      <c r="H80" s="235"/>
      <c r="I80" s="235"/>
      <c r="J80" s="235"/>
      <c r="K80" s="235"/>
      <c r="L80" s="236"/>
      <c r="M80" s="236"/>
    </row>
    <row r="81" spans="1:20">
      <c r="A81" s="21"/>
      <c r="B81" s="183"/>
      <c r="C81" s="49"/>
      <c r="D81" s="235"/>
      <c r="E81" s="235"/>
      <c r="F81" s="235"/>
      <c r="G81" s="235"/>
      <c r="H81" s="235"/>
      <c r="I81" s="235"/>
      <c r="J81" s="235"/>
      <c r="K81" s="235"/>
      <c r="L81" s="236"/>
      <c r="M81" s="236"/>
    </row>
    <row r="82" spans="1:20">
      <c r="A82" s="21"/>
      <c r="B82" s="183"/>
      <c r="C82" s="49"/>
      <c r="D82" s="235"/>
      <c r="E82" s="235"/>
      <c r="F82" s="235"/>
      <c r="G82" s="235"/>
      <c r="H82" s="235"/>
      <c r="I82" s="235"/>
      <c r="J82" s="235"/>
      <c r="K82" s="235"/>
      <c r="L82" s="236"/>
      <c r="M82" s="236"/>
    </row>
    <row r="83" spans="1:20">
      <c r="A83" s="21"/>
      <c r="B83" s="620"/>
    </row>
    <row r="84" spans="1:20">
      <c r="A84" s="21"/>
      <c r="B84" s="622" t="s">
        <v>295</v>
      </c>
      <c r="C84" s="243"/>
      <c r="D84" s="245"/>
      <c r="E84" s="245"/>
      <c r="F84" s="245"/>
      <c r="G84" s="245"/>
      <c r="H84" s="245"/>
      <c r="I84" s="245"/>
      <c r="J84" s="245"/>
      <c r="K84" s="245"/>
      <c r="L84" s="245"/>
      <c r="M84" s="245"/>
      <c r="N84" s="245"/>
    </row>
    <row r="85" spans="1:20">
      <c r="A85" s="21"/>
      <c r="B85" s="628"/>
    </row>
    <row r="86" spans="1:20">
      <c r="A86" s="21"/>
      <c r="B86" s="627" t="str">
        <f>Data!B34</f>
        <v>Financial Year Average RPI (RPIt)</v>
      </c>
      <c r="C86" s="98" t="s">
        <v>296</v>
      </c>
      <c r="D86" s="85">
        <f>Data!C$34</f>
        <v>1.1666890673736021</v>
      </c>
      <c r="E86" s="86">
        <f>Data!D$34</f>
        <v>1.1895563269638081</v>
      </c>
      <c r="F86" s="86">
        <f>Data!E$34</f>
        <v>1.2023757108362261</v>
      </c>
      <c r="G86" s="86">
        <f>Data!F$34</f>
        <v>1.2281396135646323</v>
      </c>
      <c r="H86" s="86">
        <f>Data!G$34</f>
        <v>1.2740965949380583</v>
      </c>
      <c r="I86" s="86">
        <f>Data!H$34</f>
        <v>1.3130274787154661</v>
      </c>
      <c r="J86" s="86">
        <f>Data!I$34</f>
        <v>1.3470178479563604</v>
      </c>
      <c r="K86" s="87">
        <f>Data!J$34</f>
        <v>1.3699171513716184</v>
      </c>
    </row>
    <row r="87" spans="1:20">
      <c r="A87" s="21"/>
      <c r="B87" s="627"/>
      <c r="D87" s="98"/>
      <c r="E87" s="98"/>
      <c r="F87" s="98"/>
      <c r="G87" s="98"/>
      <c r="H87" s="98"/>
      <c r="I87" s="98"/>
      <c r="J87" s="98"/>
      <c r="K87" s="98"/>
    </row>
    <row r="88" spans="1:20">
      <c r="A88" s="21"/>
      <c r="B88" s="623" t="str">
        <f>B10</f>
        <v>Totex</v>
      </c>
      <c r="C88" s="110"/>
      <c r="D88" s="61"/>
      <c r="E88" s="61"/>
      <c r="F88" s="61"/>
      <c r="G88" s="61"/>
      <c r="H88" s="61"/>
      <c r="I88" s="61"/>
      <c r="J88" s="61"/>
      <c r="K88" s="61"/>
      <c r="L88" s="61"/>
      <c r="M88" s="61"/>
      <c r="N88" s="61"/>
    </row>
    <row r="89" spans="1:20" s="21" customFormat="1">
      <c r="B89" s="624"/>
      <c r="C89" s="100"/>
      <c r="D89" s="268"/>
      <c r="E89" s="268"/>
      <c r="F89" s="268"/>
      <c r="G89" s="268"/>
      <c r="H89" s="268"/>
      <c r="I89" s="268"/>
      <c r="J89" s="268"/>
      <c r="K89" s="268"/>
      <c r="L89" s="268"/>
      <c r="M89" s="268"/>
      <c r="N89" s="268"/>
    </row>
    <row r="90" spans="1:20">
      <c r="A90" s="21"/>
      <c r="B90" s="256" t="s">
        <v>270</v>
      </c>
      <c r="C90" s="114" t="s">
        <v>297</v>
      </c>
      <c r="D90" s="557">
        <f t="shared" ref="D90:K91" si="25">D12*D$86</f>
        <v>133.25183064911502</v>
      </c>
      <c r="E90" s="557">
        <f t="shared" si="25"/>
        <v>135.3118370064243</v>
      </c>
      <c r="F90" s="557">
        <f t="shared" si="25"/>
        <v>139.3418995542155</v>
      </c>
      <c r="G90" s="557">
        <f t="shared" si="25"/>
        <v>162.49107562619201</v>
      </c>
      <c r="H90" s="557">
        <f t="shared" si="25"/>
        <v>180.76532240797675</v>
      </c>
      <c r="I90" s="557">
        <f t="shared" si="25"/>
        <v>219.25202251469923</v>
      </c>
      <c r="J90" s="557">
        <f t="shared" si="25"/>
        <v>217.54212802758261</v>
      </c>
      <c r="K90" s="557">
        <f t="shared" si="25"/>
        <v>222.70970808389541</v>
      </c>
      <c r="L90" s="556">
        <f>SUM(D90:INDEX(D90:K90,0,MATCH('RFPR cover'!$C$7,$D$6:$K$6,0)))</f>
        <v>1187.9561157862054</v>
      </c>
      <c r="M90" s="557">
        <f>SUM(D90:K90)</f>
        <v>1410.6658238701007</v>
      </c>
      <c r="N90" s="46"/>
      <c r="O90" s="46"/>
    </row>
    <row r="91" spans="1:20" ht="25.5">
      <c r="A91" s="21"/>
      <c r="B91" s="625" t="s">
        <v>298</v>
      </c>
      <c r="C91" s="114" t="s">
        <v>297</v>
      </c>
      <c r="D91" s="557">
        <f t="shared" si="25"/>
        <v>147.14715710843558</v>
      </c>
      <c r="E91" s="557">
        <f t="shared" si="25"/>
        <v>136.23433716147409</v>
      </c>
      <c r="F91" s="557">
        <f t="shared" si="25"/>
        <v>144.38729044815673</v>
      </c>
      <c r="G91" s="557">
        <f t="shared" si="25"/>
        <v>155.03902711851319</v>
      </c>
      <c r="H91" s="557">
        <f t="shared" si="25"/>
        <v>175.03963107741421</v>
      </c>
      <c r="I91" s="557">
        <f t="shared" si="25"/>
        <v>212.50612248370169</v>
      </c>
      <c r="J91" s="557">
        <f t="shared" si="25"/>
        <v>186.09845579942663</v>
      </c>
      <c r="K91" s="557">
        <f t="shared" si="25"/>
        <v>186.88073511534867</v>
      </c>
      <c r="L91" s="558">
        <f>SUM(D91:INDEX(D91:K91,0,MATCH('RFPR cover'!$C$7,$D$6:$K$6,0)))</f>
        <v>1156.4520211971221</v>
      </c>
      <c r="M91" s="559">
        <f>SUM(D91:K91)</f>
        <v>1343.3327563124708</v>
      </c>
      <c r="N91" s="46"/>
      <c r="O91" s="46"/>
    </row>
    <row r="92" spans="1:20">
      <c r="A92" s="21"/>
      <c r="B92" s="626" t="s">
        <v>272</v>
      </c>
      <c r="C92" s="114" t="s">
        <v>297</v>
      </c>
      <c r="D92" s="75">
        <f>D91-D90</f>
        <v>13.895326459320557</v>
      </c>
      <c r="E92" s="76">
        <f t="shared" ref="E92:M92" si="26">E91-E90</f>
        <v>0.92250015504978933</v>
      </c>
      <c r="F92" s="76">
        <f t="shared" si="26"/>
        <v>5.0453908939412315</v>
      </c>
      <c r="G92" s="76">
        <f t="shared" si="26"/>
        <v>-7.4520485076788248</v>
      </c>
      <c r="H92" s="76">
        <f t="shared" si="26"/>
        <v>-5.7256913305625403</v>
      </c>
      <c r="I92" s="76">
        <f t="shared" si="26"/>
        <v>-6.7459000309975465</v>
      </c>
      <c r="J92" s="76">
        <f t="shared" si="26"/>
        <v>-31.443672228155975</v>
      </c>
      <c r="K92" s="77">
        <f t="shared" si="26"/>
        <v>-35.828972968546736</v>
      </c>
      <c r="L92" s="75">
        <f t="shared" si="26"/>
        <v>-31.504094589083252</v>
      </c>
      <c r="M92" s="77">
        <f t="shared" si="26"/>
        <v>-67.333067557629874</v>
      </c>
      <c r="N92" s="46"/>
      <c r="O92" s="1003"/>
      <c r="P92" s="1003"/>
      <c r="Q92" s="1003"/>
      <c r="R92"/>
      <c r="S92"/>
      <c r="T92"/>
    </row>
    <row r="93" spans="1:20">
      <c r="A93" s="21"/>
      <c r="B93" s="626"/>
      <c r="C93" s="114"/>
      <c r="D93" s="42"/>
      <c r="E93" s="42"/>
      <c r="F93" s="42"/>
      <c r="G93" s="42"/>
      <c r="H93" s="42"/>
      <c r="I93" s="42"/>
      <c r="J93" s="42"/>
      <c r="K93" s="42"/>
      <c r="L93" s="42"/>
      <c r="M93" s="42"/>
      <c r="O93" s="47"/>
      <c r="P93" s="47"/>
      <c r="Q93" s="47"/>
      <c r="R93"/>
      <c r="S93"/>
      <c r="T93"/>
    </row>
    <row r="94" spans="1:20">
      <c r="A94" s="21"/>
      <c r="B94" s="620" t="s">
        <v>273</v>
      </c>
      <c r="C94" s="98" t="s">
        <v>250</v>
      </c>
      <c r="D94" s="82">
        <f>1-INDEX(Data!$D$73:$D$100,MATCH('RFPR cover'!$C$5,Data!$B$73:$B$100,0),0)</f>
        <v>0.53110000000000002</v>
      </c>
      <c r="E94" s="83">
        <f>1-INDEX(Data!$D$73:$D$100,MATCH('RFPR cover'!$C$5,Data!$B$73:$B$100,0),0)</f>
        <v>0.53110000000000002</v>
      </c>
      <c r="F94" s="83">
        <f>1-INDEX(Data!$D$73:$D$100,MATCH('RFPR cover'!$C$5,Data!$B$73:$B$100,0),0)</f>
        <v>0.53110000000000002</v>
      </c>
      <c r="G94" s="83">
        <f>1-INDEX(Data!$D$73:$D$100,MATCH('RFPR cover'!$C$5,Data!$B$73:$B$100,0),0)</f>
        <v>0.53110000000000002</v>
      </c>
      <c r="H94" s="83">
        <f>1-INDEX(Data!$D$73:$D$100,MATCH('RFPR cover'!$C$5,Data!$B$73:$B$100,0),0)</f>
        <v>0.53110000000000002</v>
      </c>
      <c r="I94" s="83">
        <f>1-INDEX(Data!$D$73:$D$100,MATCH('RFPR cover'!$C$5,Data!$B$73:$B$100,0),0)</f>
        <v>0.53110000000000002</v>
      </c>
      <c r="J94" s="83">
        <f>1-INDEX(Data!$D$73:$D$100,MATCH('RFPR cover'!$C$5,Data!$B$73:$B$100,0),0)</f>
        <v>0.53110000000000002</v>
      </c>
      <c r="K94" s="84">
        <f>1-INDEX(Data!$D$73:$D$100,MATCH('RFPR cover'!$C$5,Data!$B$73:$B$100,0),0)</f>
        <v>0.53110000000000002</v>
      </c>
      <c r="L94" s="45"/>
      <c r="M94" s="45"/>
      <c r="O94"/>
      <c r="P94"/>
      <c r="Q94"/>
      <c r="R94"/>
      <c r="S94"/>
      <c r="T94"/>
    </row>
    <row r="95" spans="1:20">
      <c r="A95" s="21"/>
      <c r="B95" s="620"/>
      <c r="O95"/>
      <c r="P95"/>
      <c r="Q95"/>
      <c r="R95"/>
      <c r="S95"/>
      <c r="T95"/>
    </row>
    <row r="96" spans="1:20">
      <c r="A96" s="21"/>
      <c r="B96" s="627" t="s">
        <v>274</v>
      </c>
      <c r="C96" s="114" t="s">
        <v>297</v>
      </c>
      <c r="D96" s="68">
        <f>D92*D94</f>
        <v>7.3798078825451485</v>
      </c>
      <c r="E96" s="69">
        <f t="shared" ref="E96:K96" si="27">E92*E94</f>
        <v>0.4899398323469431</v>
      </c>
      <c r="F96" s="69">
        <f t="shared" si="27"/>
        <v>2.679607103772188</v>
      </c>
      <c r="G96" s="69">
        <f t="shared" si="27"/>
        <v>-3.9577829624282241</v>
      </c>
      <c r="H96" s="69">
        <f t="shared" si="27"/>
        <v>-3.0409146656617652</v>
      </c>
      <c r="I96" s="69">
        <f t="shared" si="27"/>
        <v>-3.5827475064627969</v>
      </c>
      <c r="J96" s="69">
        <f t="shared" si="27"/>
        <v>-16.69973432037364</v>
      </c>
      <c r="K96" s="69">
        <f t="shared" si="27"/>
        <v>-19.028767543595173</v>
      </c>
      <c r="L96" s="68">
        <f>SUM(D96:INDEX(D96:K96,0,MATCH('RFPR cover'!$C$7,$D$6:$K$6,0)))</f>
        <v>-16.731824636262147</v>
      </c>
      <c r="M96" s="70">
        <f>SUM(D96:K96)</f>
        <v>-35.760592179857319</v>
      </c>
      <c r="O96"/>
      <c r="P96"/>
      <c r="Q96"/>
      <c r="R96"/>
      <c r="S96"/>
      <c r="T96"/>
    </row>
    <row r="97" spans="1:20">
      <c r="A97" s="21"/>
      <c r="B97" s="627" t="s">
        <v>275</v>
      </c>
      <c r="C97" s="114" t="s">
        <v>297</v>
      </c>
      <c r="D97" s="65">
        <f>D92*(1-D94)</f>
        <v>6.5155185767754089</v>
      </c>
      <c r="E97" s="66">
        <f t="shared" ref="E97:K97" si="28">E92*(1-E94)</f>
        <v>0.43256032270284622</v>
      </c>
      <c r="F97" s="66">
        <f t="shared" si="28"/>
        <v>2.3657837901690435</v>
      </c>
      <c r="G97" s="66">
        <f t="shared" si="28"/>
        <v>-3.4942655452506006</v>
      </c>
      <c r="H97" s="66">
        <f t="shared" si="28"/>
        <v>-2.6847766649007752</v>
      </c>
      <c r="I97" s="66">
        <f t="shared" si="28"/>
        <v>-3.1631525245347496</v>
      </c>
      <c r="J97" s="66">
        <f t="shared" si="28"/>
        <v>-14.743937907782337</v>
      </c>
      <c r="K97" s="66">
        <f t="shared" si="28"/>
        <v>-16.800205424951564</v>
      </c>
      <c r="L97" s="65">
        <f>SUM(D97:INDEX(D97:K97,0,MATCH('RFPR cover'!$C$7,$D$6:$K$6,0)))</f>
        <v>-14.772269952821166</v>
      </c>
      <c r="M97" s="67">
        <f>SUM(D97:K97)</f>
        <v>-31.572475377772729</v>
      </c>
      <c r="O97"/>
      <c r="P97"/>
      <c r="Q97"/>
      <c r="R97"/>
      <c r="S97"/>
      <c r="T97"/>
    </row>
    <row r="98" spans="1:20">
      <c r="A98" s="21"/>
      <c r="B98" s="620"/>
      <c r="O98"/>
      <c r="P98"/>
      <c r="Q98"/>
      <c r="R98"/>
      <c r="S98"/>
      <c r="T98"/>
    </row>
    <row r="99" spans="1:20">
      <c r="A99" s="21"/>
      <c r="B99" s="628" t="s">
        <v>276</v>
      </c>
      <c r="N99" s="46"/>
      <c r="O99"/>
      <c r="P99"/>
      <c r="Q99"/>
      <c r="R99"/>
      <c r="S99"/>
      <c r="T99"/>
    </row>
    <row r="100" spans="1:20">
      <c r="A100" s="223" t="s">
        <v>277</v>
      </c>
      <c r="B100" s="183" t="str">
        <f t="shared" ref="B100:B105" si="29">B22</f>
        <v>Allowances in RRP</v>
      </c>
      <c r="C100" s="114" t="s">
        <v>297</v>
      </c>
      <c r="D100" s="490">
        <f t="shared" ref="D100:K105" si="30">D22*D$86</f>
        <v>0</v>
      </c>
      <c r="E100" s="490">
        <f t="shared" si="30"/>
        <v>0</v>
      </c>
      <c r="F100" s="490">
        <f t="shared" si="30"/>
        <v>0</v>
      </c>
      <c r="G100" s="490">
        <f t="shared" si="30"/>
        <v>-2.5293714977763526E-3</v>
      </c>
      <c r="H100" s="490">
        <f t="shared" si="30"/>
        <v>9.0024913901796846E-4</v>
      </c>
      <c r="I100" s="490">
        <f t="shared" si="30"/>
        <v>-1.700085268756989E-2</v>
      </c>
      <c r="J100" s="490">
        <f t="shared" si="30"/>
        <v>-4.0726448419704528E-3</v>
      </c>
      <c r="K100" s="490">
        <f t="shared" si="30"/>
        <v>3.1770296971245404</v>
      </c>
      <c r="L100" s="482">
        <f>SUM(D100:INDEX(D100:K100,0,MATCH('RFPR cover'!$C$7,$D$6:$K$6,0)))</f>
        <v>-2.2702619888298727E-2</v>
      </c>
      <c r="M100" s="483">
        <f t="shared" ref="M100:M106" si="31">SUM(D100:K100)</f>
        <v>3.1543270772362417</v>
      </c>
      <c r="N100" s="46"/>
      <c r="O100"/>
      <c r="P100"/>
      <c r="Q100"/>
      <c r="R100"/>
      <c r="S100"/>
      <c r="T100"/>
    </row>
    <row r="101" spans="1:20">
      <c r="A101" s="223" t="s">
        <v>278</v>
      </c>
      <c r="B101" s="183" t="str">
        <f t="shared" si="29"/>
        <v>Allowance Rephasing Adjustment</v>
      </c>
      <c r="C101" s="114" t="s">
        <v>297</v>
      </c>
      <c r="D101" s="490">
        <f t="shared" si="30"/>
        <v>-13.078644112159033</v>
      </c>
      <c r="E101" s="490">
        <f t="shared" si="30"/>
        <v>-6.9892374225651928</v>
      </c>
      <c r="F101" s="490">
        <f t="shared" si="30"/>
        <v>-5.4061036071920903</v>
      </c>
      <c r="G101" s="490">
        <f t="shared" si="30"/>
        <v>10.033671067662317</v>
      </c>
      <c r="H101" s="490">
        <f t="shared" si="30"/>
        <v>2.6669592535721858</v>
      </c>
      <c r="I101" s="490">
        <f t="shared" si="30"/>
        <v>-2.296988719451591</v>
      </c>
      <c r="J101" s="490">
        <f t="shared" si="30"/>
        <v>8.7960265471550336</v>
      </c>
      <c r="K101" s="490">
        <f t="shared" si="30"/>
        <v>8.95664173630718</v>
      </c>
      <c r="L101" s="486">
        <f>SUM(D101:INDEX(D101:K101,0,MATCH('RFPR cover'!$C$7,$D$6:$K$6,0)))</f>
        <v>-6.2743169929783704</v>
      </c>
      <c r="M101" s="487">
        <f t="shared" si="31"/>
        <v>2.6823247433288095</v>
      </c>
      <c r="N101" s="46"/>
      <c r="O101"/>
      <c r="P101"/>
      <c r="Q101"/>
      <c r="R101"/>
      <c r="S101"/>
      <c r="T101"/>
    </row>
    <row r="102" spans="1:20">
      <c r="A102" s="223" t="s">
        <v>279</v>
      </c>
      <c r="B102" s="183" t="str">
        <f t="shared" si="29"/>
        <v>[Enduring Value adjustment]</v>
      </c>
      <c r="C102" s="114" t="s">
        <v>297</v>
      </c>
      <c r="D102" s="490">
        <f t="shared" si="30"/>
        <v>0</v>
      </c>
      <c r="E102" s="490">
        <f t="shared" si="30"/>
        <v>0</v>
      </c>
      <c r="F102" s="490">
        <f t="shared" si="30"/>
        <v>0</v>
      </c>
      <c r="G102" s="490">
        <f t="shared" si="30"/>
        <v>0</v>
      </c>
      <c r="H102" s="490">
        <f t="shared" si="30"/>
        <v>0</v>
      </c>
      <c r="I102" s="490">
        <f t="shared" si="30"/>
        <v>0</v>
      </c>
      <c r="J102" s="490">
        <f t="shared" si="30"/>
        <v>0</v>
      </c>
      <c r="K102" s="490">
        <f t="shared" si="30"/>
        <v>0</v>
      </c>
      <c r="L102" s="486">
        <f>SUM(D102:INDEX(D102:K102,0,MATCH('RFPR cover'!$C$7,$D$6:$K$6,0)))</f>
        <v>0</v>
      </c>
      <c r="M102" s="487">
        <f t="shared" si="31"/>
        <v>0</v>
      </c>
      <c r="N102" s="46"/>
      <c r="O102"/>
      <c r="P102"/>
      <c r="Q102"/>
      <c r="R102"/>
      <c r="S102" s="48"/>
      <c r="T102"/>
    </row>
    <row r="103" spans="1:20">
      <c r="A103" s="223" t="s">
        <v>281</v>
      </c>
      <c r="B103" s="183" t="str">
        <f t="shared" si="29"/>
        <v>[Enduring Value adjustment]</v>
      </c>
      <c r="C103" s="114" t="s">
        <v>297</v>
      </c>
      <c r="D103" s="490">
        <f t="shared" si="30"/>
        <v>0</v>
      </c>
      <c r="E103" s="490">
        <f t="shared" si="30"/>
        <v>0</v>
      </c>
      <c r="F103" s="490">
        <f t="shared" si="30"/>
        <v>0</v>
      </c>
      <c r="G103" s="490">
        <f t="shared" si="30"/>
        <v>0</v>
      </c>
      <c r="H103" s="490">
        <f t="shared" si="30"/>
        <v>0</v>
      </c>
      <c r="I103" s="490">
        <f t="shared" si="30"/>
        <v>0</v>
      </c>
      <c r="J103" s="490">
        <f t="shared" si="30"/>
        <v>0</v>
      </c>
      <c r="K103" s="490">
        <f t="shared" si="30"/>
        <v>0</v>
      </c>
      <c r="L103" s="486">
        <f>SUM(D103:INDEX(D103:K103,0,MATCH('RFPR cover'!$C$7,$D$6:$K$6,0)))</f>
        <v>0</v>
      </c>
      <c r="M103" s="487">
        <f t="shared" si="31"/>
        <v>0</v>
      </c>
      <c r="N103" s="46"/>
      <c r="O103"/>
      <c r="P103"/>
      <c r="Q103"/>
      <c r="R103"/>
      <c r="S103"/>
      <c r="T103"/>
    </row>
    <row r="104" spans="1:20">
      <c r="A104" s="223" t="s">
        <v>282</v>
      </c>
      <c r="B104" s="183" t="str">
        <f t="shared" si="29"/>
        <v>[Enduring Value adjustment]</v>
      </c>
      <c r="C104" s="114" t="s">
        <v>297</v>
      </c>
      <c r="D104" s="490">
        <f t="shared" si="30"/>
        <v>0</v>
      </c>
      <c r="E104" s="490">
        <f t="shared" si="30"/>
        <v>0</v>
      </c>
      <c r="F104" s="490">
        <f t="shared" si="30"/>
        <v>0</v>
      </c>
      <c r="G104" s="490">
        <f t="shared" si="30"/>
        <v>0</v>
      </c>
      <c r="H104" s="490">
        <f t="shared" si="30"/>
        <v>0</v>
      </c>
      <c r="I104" s="490">
        <f t="shared" si="30"/>
        <v>0</v>
      </c>
      <c r="J104" s="490">
        <f t="shared" si="30"/>
        <v>0</v>
      </c>
      <c r="K104" s="490">
        <f t="shared" si="30"/>
        <v>0</v>
      </c>
      <c r="L104" s="486">
        <f>SUM(D104:INDEX(D104:K104,0,MATCH('RFPR cover'!$C$7,$D$6:$K$6,0)))</f>
        <v>0</v>
      </c>
      <c r="M104" s="487">
        <f t="shared" si="31"/>
        <v>0</v>
      </c>
      <c r="N104" s="46"/>
      <c r="O104"/>
      <c r="P104"/>
      <c r="Q104"/>
      <c r="R104"/>
      <c r="S104"/>
      <c r="T104"/>
    </row>
    <row r="105" spans="1:20">
      <c r="A105" s="223" t="s">
        <v>283</v>
      </c>
      <c r="B105" s="183" t="str">
        <f t="shared" si="29"/>
        <v>[Enduring Value adjustment]</v>
      </c>
      <c r="C105" s="114" t="s">
        <v>297</v>
      </c>
      <c r="D105" s="490">
        <f t="shared" si="30"/>
        <v>0</v>
      </c>
      <c r="E105" s="490">
        <f t="shared" si="30"/>
        <v>0</v>
      </c>
      <c r="F105" s="490">
        <f t="shared" si="30"/>
        <v>0</v>
      </c>
      <c r="G105" s="490">
        <f t="shared" si="30"/>
        <v>0</v>
      </c>
      <c r="H105" s="490">
        <f t="shared" si="30"/>
        <v>0</v>
      </c>
      <c r="I105" s="490">
        <f t="shared" si="30"/>
        <v>0</v>
      </c>
      <c r="J105" s="490">
        <f t="shared" si="30"/>
        <v>0</v>
      </c>
      <c r="K105" s="490">
        <f t="shared" si="30"/>
        <v>0</v>
      </c>
      <c r="L105" s="490">
        <f>SUM(D105:INDEX(D105:K105,0,MATCH('RFPR cover'!$C$7,$D$6:$K$6,0)))</f>
        <v>0</v>
      </c>
      <c r="M105" s="491">
        <f t="shared" si="31"/>
        <v>0</v>
      </c>
      <c r="N105" s="46"/>
      <c r="O105"/>
      <c r="P105"/>
      <c r="Q105"/>
      <c r="R105"/>
      <c r="S105"/>
      <c r="T105"/>
    </row>
    <row r="106" spans="1:20">
      <c r="A106" s="21"/>
      <c r="B106" s="628" t="s">
        <v>284</v>
      </c>
      <c r="C106" s="114" t="s">
        <v>297</v>
      </c>
      <c r="D106" s="75">
        <f>SUM(D100:D105)</f>
        <v>-13.078644112159033</v>
      </c>
      <c r="E106" s="76">
        <f t="shared" ref="E106:K106" si="32">SUM(E100:E105)</f>
        <v>-6.9892374225651928</v>
      </c>
      <c r="F106" s="76">
        <f t="shared" si="32"/>
        <v>-5.4061036071920903</v>
      </c>
      <c r="G106" s="76">
        <f t="shared" si="32"/>
        <v>10.031141696164541</v>
      </c>
      <c r="H106" s="76">
        <f t="shared" si="32"/>
        <v>2.6678595027112038</v>
      </c>
      <c r="I106" s="76">
        <f t="shared" si="32"/>
        <v>-2.3139895721391608</v>
      </c>
      <c r="J106" s="76">
        <f t="shared" si="32"/>
        <v>8.7919539023130628</v>
      </c>
      <c r="K106" s="77">
        <f t="shared" si="32"/>
        <v>12.13367143343172</v>
      </c>
      <c r="L106" s="75">
        <f>SUM(D106:INDEX(D106:K106,0,MATCH('RFPR cover'!$C$7,$D$6:$K$6,0)))</f>
        <v>-6.2970196128666682</v>
      </c>
      <c r="M106" s="77">
        <f t="shared" si="31"/>
        <v>5.8366518205650522</v>
      </c>
      <c r="N106" s="46"/>
    </row>
    <row r="107" spans="1:20">
      <c r="A107" s="21"/>
      <c r="B107" s="620"/>
    </row>
    <row r="108" spans="1:20">
      <c r="A108" s="21"/>
      <c r="B108" s="627" t="s">
        <v>285</v>
      </c>
      <c r="C108" s="114" t="s">
        <v>297</v>
      </c>
      <c r="D108" s="68">
        <f t="shared" ref="D108:K108" si="33">D106*D94</f>
        <v>-6.9460678879676623</v>
      </c>
      <c r="E108" s="69">
        <f t="shared" si="33"/>
        <v>-3.711983995124374</v>
      </c>
      <c r="F108" s="69">
        <f t="shared" si="33"/>
        <v>-2.8711816257797191</v>
      </c>
      <c r="G108" s="69">
        <f t="shared" si="33"/>
        <v>5.3275393548329877</v>
      </c>
      <c r="H108" s="69">
        <f t="shared" si="33"/>
        <v>1.4169001818899203</v>
      </c>
      <c r="I108" s="69">
        <f t="shared" si="33"/>
        <v>-1.2289598617631083</v>
      </c>
      <c r="J108" s="69">
        <f t="shared" si="33"/>
        <v>4.6694067175184681</v>
      </c>
      <c r="K108" s="69">
        <f t="shared" si="33"/>
        <v>6.4441928982955865</v>
      </c>
      <c r="L108" s="68">
        <f>SUM(D108:INDEX(D108:K108,0,MATCH('RFPR cover'!$C$7,$D$6:$K$6,0)))</f>
        <v>-3.3443471163934877</v>
      </c>
      <c r="M108" s="70">
        <f>SUM(D108:K108)</f>
        <v>3.0998457819020988</v>
      </c>
    </row>
    <row r="109" spans="1:20">
      <c r="A109" s="21"/>
      <c r="B109" s="627" t="s">
        <v>286</v>
      </c>
      <c r="C109" s="114" t="s">
        <v>297</v>
      </c>
      <c r="D109" s="65">
        <f t="shared" ref="D109:K109" si="34">D106*(1-D94)</f>
        <v>-6.1325762241913706</v>
      </c>
      <c r="E109" s="66">
        <f t="shared" si="34"/>
        <v>-3.2772534274408187</v>
      </c>
      <c r="F109" s="66">
        <f t="shared" si="34"/>
        <v>-2.5349219814123711</v>
      </c>
      <c r="G109" s="66">
        <f t="shared" si="34"/>
        <v>4.7036023413315533</v>
      </c>
      <c r="H109" s="66">
        <f t="shared" si="34"/>
        <v>1.2509593208212835</v>
      </c>
      <c r="I109" s="66">
        <f t="shared" si="34"/>
        <v>-1.0850297103760524</v>
      </c>
      <c r="J109" s="66">
        <f t="shared" si="34"/>
        <v>4.1225471847945947</v>
      </c>
      <c r="K109" s="66">
        <f t="shared" si="34"/>
        <v>5.6894785351361339</v>
      </c>
      <c r="L109" s="65">
        <f>SUM(D109:INDEX(D109:K109,0,MATCH('RFPR cover'!$C$7,$D$6:$K$6,0)))</f>
        <v>-2.9526724964731823</v>
      </c>
      <c r="M109" s="67">
        <f>SUM(D109:K109)</f>
        <v>2.7368060386629516</v>
      </c>
    </row>
    <row r="110" spans="1:20">
      <c r="A110" s="21"/>
      <c r="B110" s="620"/>
    </row>
    <row r="111" spans="1:20">
      <c r="A111" s="21"/>
      <c r="B111" s="628" t="s">
        <v>287</v>
      </c>
    </row>
    <row r="112" spans="1:20">
      <c r="A112" s="21"/>
      <c r="B112" s="620" t="s">
        <v>288</v>
      </c>
      <c r="C112" s="114" t="s">
        <v>297</v>
      </c>
      <c r="D112" s="68">
        <f>D96+D108</f>
        <v>0.43373999457748624</v>
      </c>
      <c r="E112" s="69">
        <f t="shared" ref="E112:K112" si="35">E96+E108</f>
        <v>-3.222044162777431</v>
      </c>
      <c r="F112" s="69">
        <f t="shared" si="35"/>
        <v>-0.19157452200753111</v>
      </c>
      <c r="G112" s="69">
        <f t="shared" si="35"/>
        <v>1.3697563924047635</v>
      </c>
      <c r="H112" s="69">
        <f t="shared" si="35"/>
        <v>-1.6240144837718449</v>
      </c>
      <c r="I112" s="69">
        <f t="shared" si="35"/>
        <v>-4.8117073682259051</v>
      </c>
      <c r="J112" s="69">
        <f t="shared" si="35"/>
        <v>-12.030327602855172</v>
      </c>
      <c r="K112" s="69">
        <f t="shared" si="35"/>
        <v>-12.584574645299586</v>
      </c>
      <c r="L112" s="68">
        <f>SUM(D112:INDEX(D112:K112,0,MATCH('RFPR cover'!$C$7,$D$6:$K$6,0)))</f>
        <v>-20.076171752655632</v>
      </c>
      <c r="M112" s="70">
        <f>SUM(D112:K112)</f>
        <v>-32.660746397955222</v>
      </c>
    </row>
    <row r="113" spans="1:20">
      <c r="A113" s="21"/>
      <c r="B113" s="620" t="s">
        <v>275</v>
      </c>
      <c r="C113" s="114" t="s">
        <v>297</v>
      </c>
      <c r="D113" s="423">
        <f>D97+D109</f>
        <v>0.3829423525840383</v>
      </c>
      <c r="E113" s="424">
        <f t="shared" ref="E113:K113" si="36">E97+E109</f>
        <v>-2.8446931047379724</v>
      </c>
      <c r="F113" s="424">
        <f t="shared" si="36"/>
        <v>-0.16913819124332763</v>
      </c>
      <c r="G113" s="424">
        <f t="shared" si="36"/>
        <v>1.2093367960809527</v>
      </c>
      <c r="H113" s="424">
        <f t="shared" si="36"/>
        <v>-1.4338173440794917</v>
      </c>
      <c r="I113" s="424">
        <f t="shared" si="36"/>
        <v>-4.2481822349108018</v>
      </c>
      <c r="J113" s="424">
        <f t="shared" si="36"/>
        <v>-10.621390722987742</v>
      </c>
      <c r="K113" s="424">
        <f t="shared" si="36"/>
        <v>-11.11072688981543</v>
      </c>
      <c r="L113" s="423">
        <f>SUM(D113:INDEX(D113:K113,0,MATCH('RFPR cover'!$C$7,$D$6:$K$6,0)))</f>
        <v>-17.724942449294346</v>
      </c>
      <c r="M113" s="425">
        <f>SUM(D113:K113)</f>
        <v>-28.835669339109778</v>
      </c>
    </row>
    <row r="114" spans="1:20">
      <c r="A114" s="21"/>
      <c r="B114" s="628" t="s">
        <v>289</v>
      </c>
      <c r="C114" s="115" t="s">
        <v>297</v>
      </c>
      <c r="D114" s="107">
        <f>SUM(D112:D113)</f>
        <v>0.81668234716152455</v>
      </c>
      <c r="E114" s="108">
        <f t="shared" ref="E114:K114" si="37">SUM(E112:E113)</f>
        <v>-6.0667372675154034</v>
      </c>
      <c r="F114" s="108">
        <f t="shared" si="37"/>
        <v>-0.36071271325085874</v>
      </c>
      <c r="G114" s="108">
        <f t="shared" si="37"/>
        <v>2.5790931884857162</v>
      </c>
      <c r="H114" s="108">
        <f t="shared" si="37"/>
        <v>-3.0578318278513366</v>
      </c>
      <c r="I114" s="108">
        <f t="shared" si="37"/>
        <v>-9.0598896031367069</v>
      </c>
      <c r="J114" s="108">
        <f t="shared" si="37"/>
        <v>-22.651718325842914</v>
      </c>
      <c r="K114" s="108">
        <f t="shared" si="37"/>
        <v>-23.695301535115014</v>
      </c>
      <c r="L114" s="107">
        <f>SUM(D114:INDEX(D114:K114,0,MATCH('RFPR cover'!$C$7,$D$6:$K$6,0)))</f>
        <v>-37.801114201949979</v>
      </c>
      <c r="M114" s="109">
        <f>SUM(D114:K114)</f>
        <v>-61.496415737064993</v>
      </c>
    </row>
    <row r="115" spans="1:20">
      <c r="A115" s="21"/>
      <c r="B115" s="620"/>
    </row>
    <row r="116" spans="1:20">
      <c r="A116" s="21"/>
      <c r="B116" s="623" t="str">
        <f>B38</f>
        <v>n/a</v>
      </c>
      <c r="C116" s="110"/>
      <c r="D116" s="61"/>
      <c r="E116" s="61"/>
      <c r="F116" s="61"/>
      <c r="G116" s="61"/>
      <c r="H116" s="61"/>
      <c r="I116" s="61"/>
      <c r="J116" s="61"/>
      <c r="K116" s="61"/>
      <c r="L116" s="61"/>
      <c r="M116" s="61"/>
      <c r="N116" s="61"/>
    </row>
    <row r="117" spans="1:20" s="21" customFormat="1">
      <c r="B117" s="621"/>
      <c r="C117" s="100"/>
      <c r="D117" s="268"/>
      <c r="E117" s="268"/>
      <c r="F117" s="268"/>
      <c r="G117" s="268"/>
      <c r="H117" s="268"/>
      <c r="I117" s="268"/>
      <c r="J117" s="268"/>
      <c r="K117" s="268"/>
      <c r="L117" s="268"/>
      <c r="M117" s="268"/>
      <c r="N117" s="268"/>
    </row>
    <row r="118" spans="1:20">
      <c r="A118" s="21"/>
      <c r="B118" s="256" t="s">
        <v>270</v>
      </c>
      <c r="C118" s="114" t="s">
        <v>297</v>
      </c>
      <c r="D118" s="556">
        <f t="shared" ref="D118:K119" si="38">D40*D$86</f>
        <v>0</v>
      </c>
      <c r="E118" s="556">
        <f t="shared" si="38"/>
        <v>0</v>
      </c>
      <c r="F118" s="556">
        <f t="shared" si="38"/>
        <v>0</v>
      </c>
      <c r="G118" s="556">
        <f t="shared" si="38"/>
        <v>0</v>
      </c>
      <c r="H118" s="556">
        <f t="shared" si="38"/>
        <v>0</v>
      </c>
      <c r="I118" s="556">
        <f t="shared" si="38"/>
        <v>0</v>
      </c>
      <c r="J118" s="556">
        <f t="shared" si="38"/>
        <v>0</v>
      </c>
      <c r="K118" s="556">
        <f t="shared" si="38"/>
        <v>0</v>
      </c>
      <c r="L118" s="556">
        <f>SUM(D118:INDEX(D118:K118,0,MATCH('RFPR cover'!$C$7,$D$6:$K$6,0)))</f>
        <v>0</v>
      </c>
      <c r="M118" s="557">
        <f>SUM(D118:K118)</f>
        <v>0</v>
      </c>
      <c r="N118" s="46"/>
      <c r="O118" s="46"/>
    </row>
    <row r="119" spans="1:20" ht="25.5">
      <c r="A119" s="21"/>
      <c r="B119" s="625" t="s">
        <v>298</v>
      </c>
      <c r="C119" s="114" t="s">
        <v>297</v>
      </c>
      <c r="D119" s="556">
        <f t="shared" si="38"/>
        <v>0</v>
      </c>
      <c r="E119" s="556">
        <f t="shared" si="38"/>
        <v>0</v>
      </c>
      <c r="F119" s="556">
        <f t="shared" si="38"/>
        <v>0</v>
      </c>
      <c r="G119" s="556">
        <f t="shared" si="38"/>
        <v>0</v>
      </c>
      <c r="H119" s="556">
        <f t="shared" si="38"/>
        <v>0</v>
      </c>
      <c r="I119" s="556">
        <f t="shared" si="38"/>
        <v>0</v>
      </c>
      <c r="J119" s="556">
        <f t="shared" si="38"/>
        <v>0</v>
      </c>
      <c r="K119" s="556">
        <f t="shared" si="38"/>
        <v>0</v>
      </c>
      <c r="L119" s="558">
        <f>SUM(D119:INDEX(D119:K119,0,MATCH('RFPR cover'!$C$7,$D$6:$K$6,0)))</f>
        <v>0</v>
      </c>
      <c r="M119" s="559">
        <f>SUM(D119:K119)</f>
        <v>0</v>
      </c>
      <c r="N119" s="46"/>
      <c r="O119" s="46"/>
    </row>
    <row r="120" spans="1:20">
      <c r="A120" s="21"/>
      <c r="B120" s="626" t="s">
        <v>272</v>
      </c>
      <c r="C120" s="114" t="s">
        <v>297</v>
      </c>
      <c r="D120" s="75">
        <f>D119-D118</f>
        <v>0</v>
      </c>
      <c r="E120" s="76">
        <f t="shared" ref="E120:M120" si="39">E119-E118</f>
        <v>0</v>
      </c>
      <c r="F120" s="76">
        <f t="shared" si="39"/>
        <v>0</v>
      </c>
      <c r="G120" s="76">
        <f t="shared" si="39"/>
        <v>0</v>
      </c>
      <c r="H120" s="76">
        <f t="shared" si="39"/>
        <v>0</v>
      </c>
      <c r="I120" s="76">
        <f t="shared" si="39"/>
        <v>0</v>
      </c>
      <c r="J120" s="76">
        <f t="shared" si="39"/>
        <v>0</v>
      </c>
      <c r="K120" s="76">
        <f t="shared" si="39"/>
        <v>0</v>
      </c>
      <c r="L120" s="75">
        <f t="shared" si="39"/>
        <v>0</v>
      </c>
      <c r="M120" s="77">
        <f t="shared" si="39"/>
        <v>0</v>
      </c>
      <c r="N120" s="46"/>
      <c r="O120" s="1003"/>
      <c r="P120" s="1003"/>
      <c r="Q120" s="1003"/>
      <c r="R120"/>
      <c r="S120"/>
      <c r="T120"/>
    </row>
    <row r="121" spans="1:20">
      <c r="A121" s="21"/>
      <c r="B121" s="626"/>
      <c r="C121" s="114"/>
      <c r="D121" s="42"/>
      <c r="E121" s="42"/>
      <c r="F121" s="42"/>
      <c r="G121" s="42"/>
      <c r="H121" s="42"/>
      <c r="I121" s="42"/>
      <c r="J121" s="42"/>
      <c r="K121" s="42"/>
      <c r="L121" s="42"/>
      <c r="M121" s="42"/>
      <c r="O121" s="47"/>
      <c r="P121" s="47"/>
      <c r="Q121" s="47"/>
      <c r="R121"/>
      <c r="S121"/>
      <c r="T121"/>
    </row>
    <row r="122" spans="1:20">
      <c r="A122" s="21"/>
      <c r="B122" s="620" t="s">
        <v>273</v>
      </c>
      <c r="C122" s="98" t="s">
        <v>250</v>
      </c>
      <c r="D122" s="82">
        <f>1-INDEX(Data!$D$73:$D$100,MATCH('RFPR cover'!$C$5,Data!$B$73:$B$100,0),0)</f>
        <v>0.53110000000000002</v>
      </c>
      <c r="E122" s="83">
        <f>1-INDEX(Data!$D$73:$D$100,MATCH('RFPR cover'!$C$5,Data!$B$73:$B$100,0),0)</f>
        <v>0.53110000000000002</v>
      </c>
      <c r="F122" s="83">
        <f>1-INDEX(Data!$D$73:$D$100,MATCH('RFPR cover'!$C$5,Data!$B$73:$B$100,0),0)</f>
        <v>0.53110000000000002</v>
      </c>
      <c r="G122" s="83">
        <f>1-INDEX(Data!$D$73:$D$100,MATCH('RFPR cover'!$C$5,Data!$B$73:$B$100,0),0)</f>
        <v>0.53110000000000002</v>
      </c>
      <c r="H122" s="83">
        <f>1-INDEX(Data!$D$73:$D$100,MATCH('RFPR cover'!$C$5,Data!$B$73:$B$100,0),0)</f>
        <v>0.53110000000000002</v>
      </c>
      <c r="I122" s="83">
        <f>1-INDEX(Data!$D$73:$D$100,MATCH('RFPR cover'!$C$5,Data!$B$73:$B$100,0),0)</f>
        <v>0.53110000000000002</v>
      </c>
      <c r="J122" s="83">
        <f>1-INDEX(Data!$D$73:$D$100,MATCH('RFPR cover'!$C$5,Data!$B$73:$B$100,0),0)</f>
        <v>0.53110000000000002</v>
      </c>
      <c r="K122" s="84">
        <f>1-INDEX(Data!$D$73:$D$100,MATCH('RFPR cover'!$C$5,Data!$B$73:$B$100,0),0)</f>
        <v>0.53110000000000002</v>
      </c>
      <c r="L122" s="45"/>
      <c r="M122" s="45"/>
      <c r="O122"/>
      <c r="P122"/>
      <c r="Q122"/>
      <c r="R122"/>
      <c r="S122"/>
      <c r="T122"/>
    </row>
    <row r="123" spans="1:20">
      <c r="A123" s="21"/>
      <c r="B123" s="620"/>
      <c r="O123"/>
      <c r="P123"/>
      <c r="Q123"/>
      <c r="R123"/>
      <c r="S123"/>
      <c r="T123"/>
    </row>
    <row r="124" spans="1:20">
      <c r="A124" s="21"/>
      <c r="B124" s="627" t="s">
        <v>274</v>
      </c>
      <c r="C124" s="118" t="s">
        <v>297</v>
      </c>
      <c r="D124" s="68">
        <f>D120*D122</f>
        <v>0</v>
      </c>
      <c r="E124" s="69">
        <f t="shared" ref="E124:K124" si="40">E120*E122</f>
        <v>0</v>
      </c>
      <c r="F124" s="69">
        <f t="shared" si="40"/>
        <v>0</v>
      </c>
      <c r="G124" s="69">
        <f t="shared" si="40"/>
        <v>0</v>
      </c>
      <c r="H124" s="69">
        <f t="shared" si="40"/>
        <v>0</v>
      </c>
      <c r="I124" s="69">
        <f t="shared" si="40"/>
        <v>0</v>
      </c>
      <c r="J124" s="69">
        <f t="shared" si="40"/>
        <v>0</v>
      </c>
      <c r="K124" s="69">
        <f t="shared" si="40"/>
        <v>0</v>
      </c>
      <c r="L124" s="68">
        <f>SUM(D124:INDEX(D124:K124,0,MATCH('RFPR cover'!$C$7,$D$6:$K$6,0)))</f>
        <v>0</v>
      </c>
      <c r="M124" s="70">
        <f>SUM(D124:K124)</f>
        <v>0</v>
      </c>
      <c r="O124"/>
      <c r="P124"/>
      <c r="Q124"/>
      <c r="R124"/>
      <c r="S124"/>
      <c r="T124"/>
    </row>
    <row r="125" spans="1:20">
      <c r="A125" s="21"/>
      <c r="B125" s="627" t="s">
        <v>299</v>
      </c>
      <c r="C125" s="118" t="s">
        <v>297</v>
      </c>
      <c r="D125" s="65">
        <f>D120*(1-D122)</f>
        <v>0</v>
      </c>
      <c r="E125" s="66">
        <f t="shared" ref="E125:K125" si="41">E120*(1-E122)</f>
        <v>0</v>
      </c>
      <c r="F125" s="66">
        <f t="shared" si="41"/>
        <v>0</v>
      </c>
      <c r="G125" s="66">
        <f t="shared" si="41"/>
        <v>0</v>
      </c>
      <c r="H125" s="66">
        <f t="shared" si="41"/>
        <v>0</v>
      </c>
      <c r="I125" s="66">
        <f t="shared" si="41"/>
        <v>0</v>
      </c>
      <c r="J125" s="66">
        <f t="shared" si="41"/>
        <v>0</v>
      </c>
      <c r="K125" s="66">
        <f t="shared" si="41"/>
        <v>0</v>
      </c>
      <c r="L125" s="65">
        <f>SUM(D125:INDEX(D125:K125,0,MATCH('RFPR cover'!$C$7,$D$6:$K$6,0)))</f>
        <v>0</v>
      </c>
      <c r="M125" s="67">
        <f>SUM(D125:K125)</f>
        <v>0</v>
      </c>
      <c r="O125"/>
      <c r="P125"/>
      <c r="Q125"/>
      <c r="R125"/>
      <c r="S125"/>
      <c r="T125"/>
    </row>
    <row r="126" spans="1:20">
      <c r="A126" s="21"/>
      <c r="B126" s="620"/>
      <c r="O126"/>
      <c r="P126"/>
      <c r="Q126"/>
      <c r="R126"/>
      <c r="S126"/>
      <c r="T126"/>
    </row>
    <row r="127" spans="1:20">
      <c r="A127" s="21"/>
      <c r="B127" s="628" t="s">
        <v>276</v>
      </c>
      <c r="N127" s="46"/>
      <c r="O127"/>
      <c r="P127"/>
      <c r="Q127"/>
      <c r="R127"/>
      <c r="S127"/>
      <c r="T127"/>
    </row>
    <row r="128" spans="1:20">
      <c r="A128" s="223" t="s">
        <v>277</v>
      </c>
      <c r="B128" s="183" t="str">
        <f t="shared" ref="B128:B133" si="42">B50</f>
        <v>[Enduring Value adjustment]</v>
      </c>
      <c r="C128" s="114" t="s">
        <v>297</v>
      </c>
      <c r="D128" s="482">
        <f t="shared" ref="D128:K133" si="43">D50*D$86</f>
        <v>0</v>
      </c>
      <c r="E128" s="482">
        <f t="shared" si="43"/>
        <v>0</v>
      </c>
      <c r="F128" s="482">
        <f t="shared" si="43"/>
        <v>0</v>
      </c>
      <c r="G128" s="482">
        <f t="shared" si="43"/>
        <v>0</v>
      </c>
      <c r="H128" s="482">
        <f t="shared" si="43"/>
        <v>0</v>
      </c>
      <c r="I128" s="482">
        <f t="shared" si="43"/>
        <v>0</v>
      </c>
      <c r="J128" s="482">
        <f t="shared" si="43"/>
        <v>0</v>
      </c>
      <c r="K128" s="482">
        <f t="shared" si="43"/>
        <v>0</v>
      </c>
      <c r="L128" s="482">
        <f>SUM(D128:INDEX(D128:K128,0,MATCH('RFPR cover'!$C$7,$D$6:$K$6,0)))</f>
        <v>0</v>
      </c>
      <c r="M128" s="483">
        <f t="shared" ref="M128:M134" si="44">SUM(D128:K128)</f>
        <v>0</v>
      </c>
      <c r="N128" s="46"/>
      <c r="O128"/>
      <c r="P128"/>
      <c r="Q128"/>
      <c r="R128"/>
      <c r="S128"/>
      <c r="T128"/>
    </row>
    <row r="129" spans="1:20">
      <c r="A129" s="223" t="s">
        <v>278</v>
      </c>
      <c r="B129" s="183" t="str">
        <f t="shared" si="42"/>
        <v>[Enduring Value adjustment]</v>
      </c>
      <c r="C129" s="114" t="s">
        <v>297</v>
      </c>
      <c r="D129" s="482">
        <f t="shared" si="43"/>
        <v>0</v>
      </c>
      <c r="E129" s="482">
        <f t="shared" si="43"/>
        <v>0</v>
      </c>
      <c r="F129" s="482">
        <f t="shared" si="43"/>
        <v>0</v>
      </c>
      <c r="G129" s="482">
        <f t="shared" si="43"/>
        <v>0</v>
      </c>
      <c r="H129" s="482">
        <f t="shared" si="43"/>
        <v>0</v>
      </c>
      <c r="I129" s="482">
        <f t="shared" si="43"/>
        <v>0</v>
      </c>
      <c r="J129" s="482">
        <f t="shared" si="43"/>
        <v>0</v>
      </c>
      <c r="K129" s="482">
        <f t="shared" si="43"/>
        <v>0</v>
      </c>
      <c r="L129" s="486">
        <f>SUM(D129:INDEX(D129:K129,0,MATCH('RFPR cover'!$C$7,$D$6:$K$6,0)))</f>
        <v>0</v>
      </c>
      <c r="M129" s="487">
        <f t="shared" si="44"/>
        <v>0</v>
      </c>
      <c r="N129" s="46"/>
      <c r="O129"/>
      <c r="P129"/>
      <c r="Q129"/>
      <c r="R129"/>
      <c r="S129"/>
      <c r="T129"/>
    </row>
    <row r="130" spans="1:20">
      <c r="A130" s="223" t="s">
        <v>279</v>
      </c>
      <c r="B130" s="183" t="str">
        <f t="shared" si="42"/>
        <v>[Enduring Value adjustment]</v>
      </c>
      <c r="C130" s="114" t="s">
        <v>297</v>
      </c>
      <c r="D130" s="482">
        <f t="shared" si="43"/>
        <v>0</v>
      </c>
      <c r="E130" s="482">
        <f t="shared" si="43"/>
        <v>0</v>
      </c>
      <c r="F130" s="482">
        <f t="shared" si="43"/>
        <v>0</v>
      </c>
      <c r="G130" s="482">
        <f t="shared" si="43"/>
        <v>0</v>
      </c>
      <c r="H130" s="482">
        <f t="shared" si="43"/>
        <v>0</v>
      </c>
      <c r="I130" s="482">
        <f t="shared" si="43"/>
        <v>0</v>
      </c>
      <c r="J130" s="482">
        <f t="shared" si="43"/>
        <v>0</v>
      </c>
      <c r="K130" s="482">
        <f t="shared" si="43"/>
        <v>0</v>
      </c>
      <c r="L130" s="486">
        <f>SUM(D130:INDEX(D130:K130,0,MATCH('RFPR cover'!$C$7,$D$6:$K$6,0)))</f>
        <v>0</v>
      </c>
      <c r="M130" s="487">
        <f t="shared" si="44"/>
        <v>0</v>
      </c>
      <c r="N130" s="46"/>
      <c r="O130"/>
      <c r="P130"/>
      <c r="Q130"/>
      <c r="R130"/>
      <c r="S130" s="48"/>
      <c r="T130"/>
    </row>
    <row r="131" spans="1:20">
      <c r="A131" s="223" t="s">
        <v>281</v>
      </c>
      <c r="B131" s="183" t="str">
        <f t="shared" si="42"/>
        <v>[Enduring Value adjustment]</v>
      </c>
      <c r="C131" s="114" t="s">
        <v>297</v>
      </c>
      <c r="D131" s="482">
        <f t="shared" si="43"/>
        <v>0</v>
      </c>
      <c r="E131" s="482">
        <f t="shared" si="43"/>
        <v>0</v>
      </c>
      <c r="F131" s="482">
        <f t="shared" si="43"/>
        <v>0</v>
      </c>
      <c r="G131" s="482">
        <f t="shared" si="43"/>
        <v>0</v>
      </c>
      <c r="H131" s="482">
        <f t="shared" si="43"/>
        <v>0</v>
      </c>
      <c r="I131" s="482">
        <f t="shared" si="43"/>
        <v>0</v>
      </c>
      <c r="J131" s="482">
        <f t="shared" si="43"/>
        <v>0</v>
      </c>
      <c r="K131" s="482">
        <f t="shared" si="43"/>
        <v>0</v>
      </c>
      <c r="L131" s="486">
        <f>SUM(D131:INDEX(D131:K131,0,MATCH('RFPR cover'!$C$7,$D$6:$K$6,0)))</f>
        <v>0</v>
      </c>
      <c r="M131" s="487">
        <f t="shared" si="44"/>
        <v>0</v>
      </c>
      <c r="N131" s="46"/>
      <c r="O131"/>
      <c r="P131"/>
      <c r="Q131"/>
      <c r="R131"/>
      <c r="S131"/>
      <c r="T131"/>
    </row>
    <row r="132" spans="1:20">
      <c r="A132" s="223" t="s">
        <v>282</v>
      </c>
      <c r="B132" s="183" t="str">
        <f t="shared" si="42"/>
        <v>[Enduring Value adjustment]</v>
      </c>
      <c r="C132" s="114" t="s">
        <v>297</v>
      </c>
      <c r="D132" s="482">
        <f t="shared" si="43"/>
        <v>0</v>
      </c>
      <c r="E132" s="482">
        <f t="shared" si="43"/>
        <v>0</v>
      </c>
      <c r="F132" s="482">
        <f t="shared" si="43"/>
        <v>0</v>
      </c>
      <c r="G132" s="482">
        <f t="shared" si="43"/>
        <v>0</v>
      </c>
      <c r="H132" s="482">
        <f t="shared" si="43"/>
        <v>0</v>
      </c>
      <c r="I132" s="482">
        <f t="shared" si="43"/>
        <v>0</v>
      </c>
      <c r="J132" s="482">
        <f t="shared" si="43"/>
        <v>0</v>
      </c>
      <c r="K132" s="482">
        <f t="shared" si="43"/>
        <v>0</v>
      </c>
      <c r="L132" s="486">
        <f>SUM(D132:INDEX(D132:K132,0,MATCH('RFPR cover'!$C$7,$D$6:$K$6,0)))</f>
        <v>0</v>
      </c>
      <c r="M132" s="487">
        <f t="shared" si="44"/>
        <v>0</v>
      </c>
      <c r="N132" s="46"/>
      <c r="O132"/>
      <c r="P132"/>
      <c r="Q132"/>
      <c r="R132"/>
      <c r="S132"/>
      <c r="T132"/>
    </row>
    <row r="133" spans="1:20">
      <c r="A133" s="223" t="s">
        <v>283</v>
      </c>
      <c r="B133" s="183" t="str">
        <f t="shared" si="42"/>
        <v>[Enduring Value adjustment]</v>
      </c>
      <c r="C133" s="114" t="s">
        <v>297</v>
      </c>
      <c r="D133" s="482">
        <f t="shared" si="43"/>
        <v>0</v>
      </c>
      <c r="E133" s="482">
        <f t="shared" si="43"/>
        <v>0</v>
      </c>
      <c r="F133" s="482">
        <f t="shared" si="43"/>
        <v>0</v>
      </c>
      <c r="G133" s="482">
        <f t="shared" si="43"/>
        <v>0</v>
      </c>
      <c r="H133" s="482">
        <f t="shared" si="43"/>
        <v>0</v>
      </c>
      <c r="I133" s="482">
        <f t="shared" si="43"/>
        <v>0</v>
      </c>
      <c r="J133" s="482">
        <f t="shared" si="43"/>
        <v>0</v>
      </c>
      <c r="K133" s="482">
        <f t="shared" si="43"/>
        <v>0</v>
      </c>
      <c r="L133" s="490">
        <f>SUM(D133:INDEX(D133:K133,0,MATCH('RFPR cover'!$C$7,$D$6:$K$6,0)))</f>
        <v>0</v>
      </c>
      <c r="M133" s="491">
        <f t="shared" si="44"/>
        <v>0</v>
      </c>
      <c r="N133" s="46"/>
      <c r="O133"/>
      <c r="P133"/>
      <c r="Q133"/>
      <c r="R133"/>
      <c r="S133"/>
      <c r="T133"/>
    </row>
    <row r="134" spans="1:20">
      <c r="A134" s="21"/>
      <c r="B134" s="628" t="s">
        <v>284</v>
      </c>
      <c r="C134" s="114" t="s">
        <v>297</v>
      </c>
      <c r="D134" s="75">
        <f>SUM(D128:D133)</f>
        <v>0</v>
      </c>
      <c r="E134" s="76">
        <f t="shared" ref="E134:K134" si="45">SUM(E128:E133)</f>
        <v>0</v>
      </c>
      <c r="F134" s="76">
        <f t="shared" si="45"/>
        <v>0</v>
      </c>
      <c r="G134" s="76">
        <f t="shared" si="45"/>
        <v>0</v>
      </c>
      <c r="H134" s="76">
        <f t="shared" si="45"/>
        <v>0</v>
      </c>
      <c r="I134" s="76">
        <f t="shared" si="45"/>
        <v>0</v>
      </c>
      <c r="J134" s="76">
        <f t="shared" si="45"/>
        <v>0</v>
      </c>
      <c r="K134" s="76">
        <f t="shared" si="45"/>
        <v>0</v>
      </c>
      <c r="L134" s="75">
        <f>SUM(D134:INDEX(D134:K134,0,MATCH('RFPR cover'!$C$7,$D$6:$K$6,0)))</f>
        <v>0</v>
      </c>
      <c r="M134" s="77">
        <f t="shared" si="44"/>
        <v>0</v>
      </c>
      <c r="N134" s="46"/>
    </row>
    <row r="135" spans="1:20">
      <c r="A135" s="21"/>
      <c r="B135" s="620"/>
    </row>
    <row r="136" spans="1:20">
      <c r="A136" s="21"/>
      <c r="B136" s="627" t="s">
        <v>285</v>
      </c>
      <c r="C136" s="118" t="s">
        <v>297</v>
      </c>
      <c r="D136" s="68">
        <f t="shared" ref="D136:K136" si="46">D134*D122</f>
        <v>0</v>
      </c>
      <c r="E136" s="69">
        <f t="shared" si="46"/>
        <v>0</v>
      </c>
      <c r="F136" s="69">
        <f t="shared" si="46"/>
        <v>0</v>
      </c>
      <c r="G136" s="69">
        <f t="shared" si="46"/>
        <v>0</v>
      </c>
      <c r="H136" s="69">
        <f t="shared" si="46"/>
        <v>0</v>
      </c>
      <c r="I136" s="69">
        <f t="shared" si="46"/>
        <v>0</v>
      </c>
      <c r="J136" s="69">
        <f t="shared" si="46"/>
        <v>0</v>
      </c>
      <c r="K136" s="69">
        <f t="shared" si="46"/>
        <v>0</v>
      </c>
      <c r="L136" s="68">
        <f>SUM(D136:INDEX(D136:K136,0,MATCH('RFPR cover'!$C$7,$D$6:$K$6,0)))</f>
        <v>0</v>
      </c>
      <c r="M136" s="70">
        <f>SUM(D136:K136)</f>
        <v>0</v>
      </c>
    </row>
    <row r="137" spans="1:20">
      <c r="A137" s="21"/>
      <c r="B137" s="627" t="s">
        <v>286</v>
      </c>
      <c r="C137" s="118" t="s">
        <v>297</v>
      </c>
      <c r="D137" s="65">
        <f t="shared" ref="D137:K137" si="47">D134*(1-D122)</f>
        <v>0</v>
      </c>
      <c r="E137" s="66">
        <f t="shared" si="47"/>
        <v>0</v>
      </c>
      <c r="F137" s="66">
        <f t="shared" si="47"/>
        <v>0</v>
      </c>
      <c r="G137" s="66">
        <f t="shared" si="47"/>
        <v>0</v>
      </c>
      <c r="H137" s="66">
        <f t="shared" si="47"/>
        <v>0</v>
      </c>
      <c r="I137" s="66">
        <f t="shared" si="47"/>
        <v>0</v>
      </c>
      <c r="J137" s="66">
        <f t="shared" si="47"/>
        <v>0</v>
      </c>
      <c r="K137" s="66">
        <f t="shared" si="47"/>
        <v>0</v>
      </c>
      <c r="L137" s="65">
        <f>SUM(D137:INDEX(D137:K137,0,MATCH('RFPR cover'!$C$7,$D$6:$K$6,0)))</f>
        <v>0</v>
      </c>
      <c r="M137" s="67">
        <f>SUM(D137:K137)</f>
        <v>0</v>
      </c>
    </row>
    <row r="138" spans="1:20">
      <c r="A138" s="21"/>
      <c r="B138" s="620"/>
    </row>
    <row r="139" spans="1:20">
      <c r="A139" s="21"/>
      <c r="B139" s="628" t="s">
        <v>287</v>
      </c>
    </row>
    <row r="140" spans="1:20">
      <c r="A140" s="21"/>
      <c r="B140" s="620" t="s">
        <v>288</v>
      </c>
      <c r="C140" s="114" t="s">
        <v>297</v>
      </c>
      <c r="D140" s="68">
        <f>D124+D136</f>
        <v>0</v>
      </c>
      <c r="E140" s="69">
        <f t="shared" ref="E140:K140" si="48">E124+E136</f>
        <v>0</v>
      </c>
      <c r="F140" s="69">
        <f t="shared" si="48"/>
        <v>0</v>
      </c>
      <c r="G140" s="69">
        <f t="shared" si="48"/>
        <v>0</v>
      </c>
      <c r="H140" s="69">
        <f t="shared" si="48"/>
        <v>0</v>
      </c>
      <c r="I140" s="69">
        <f t="shared" si="48"/>
        <v>0</v>
      </c>
      <c r="J140" s="69">
        <f t="shared" si="48"/>
        <v>0</v>
      </c>
      <c r="K140" s="69">
        <f t="shared" si="48"/>
        <v>0</v>
      </c>
      <c r="L140" s="68">
        <f>SUM(D140:INDEX(D140:K140,0,MATCH('RFPR cover'!$C$7,$D$6:$K$6,0)))</f>
        <v>0</v>
      </c>
      <c r="M140" s="70">
        <f>SUM(D140:K140)</f>
        <v>0</v>
      </c>
    </row>
    <row r="141" spans="1:20">
      <c r="A141" s="21"/>
      <c r="B141" s="620" t="s">
        <v>275</v>
      </c>
      <c r="C141" s="114" t="s">
        <v>297</v>
      </c>
      <c r="D141" s="71">
        <f>D125+D137</f>
        <v>0</v>
      </c>
      <c r="E141" s="72">
        <f t="shared" ref="E141:K141" si="49">E125+E137</f>
        <v>0</v>
      </c>
      <c r="F141" s="72">
        <f t="shared" si="49"/>
        <v>0</v>
      </c>
      <c r="G141" s="72">
        <f t="shared" si="49"/>
        <v>0</v>
      </c>
      <c r="H141" s="72">
        <f t="shared" si="49"/>
        <v>0</v>
      </c>
      <c r="I141" s="72">
        <f t="shared" si="49"/>
        <v>0</v>
      </c>
      <c r="J141" s="72">
        <f t="shared" si="49"/>
        <v>0</v>
      </c>
      <c r="K141" s="72">
        <f t="shared" si="49"/>
        <v>0</v>
      </c>
      <c r="L141" s="71">
        <f>SUM(D141:INDEX(D141:K141,0,MATCH('RFPR cover'!$C$7,$D$6:$K$6,0)))</f>
        <v>0</v>
      </c>
      <c r="M141" s="73">
        <f>SUM(D141:K141)</f>
        <v>0</v>
      </c>
    </row>
    <row r="142" spans="1:20">
      <c r="A142" s="21"/>
      <c r="B142" s="628" t="s">
        <v>289</v>
      </c>
      <c r="C142" s="115" t="s">
        <v>297</v>
      </c>
      <c r="D142" s="101">
        <f>SUM(D140:D141)</f>
        <v>0</v>
      </c>
      <c r="E142" s="102">
        <f t="shared" ref="E142:K142" si="50">SUM(E140:E141)</f>
        <v>0</v>
      </c>
      <c r="F142" s="102">
        <f t="shared" si="50"/>
        <v>0</v>
      </c>
      <c r="G142" s="102">
        <f t="shared" si="50"/>
        <v>0</v>
      </c>
      <c r="H142" s="102">
        <f t="shared" si="50"/>
        <v>0</v>
      </c>
      <c r="I142" s="102">
        <f t="shared" si="50"/>
        <v>0</v>
      </c>
      <c r="J142" s="102">
        <f t="shared" si="50"/>
        <v>0</v>
      </c>
      <c r="K142" s="102">
        <f t="shared" si="50"/>
        <v>0</v>
      </c>
      <c r="L142" s="101">
        <f>SUM(D142:INDEX(D142:K142,0,MATCH('RFPR cover'!$C$7,$D$6:$K$6,0)))</f>
        <v>0</v>
      </c>
      <c r="M142" s="103">
        <f>SUM(D142:K142)</f>
        <v>0</v>
      </c>
    </row>
    <row r="143" spans="1:20">
      <c r="A143" s="21"/>
      <c r="B143" s="628"/>
      <c r="C143" s="115"/>
      <c r="D143" s="115"/>
      <c r="E143" s="115"/>
      <c r="F143" s="115"/>
      <c r="G143" s="115"/>
      <c r="H143" s="115"/>
      <c r="I143" s="115"/>
      <c r="J143" s="115"/>
      <c r="K143" s="115"/>
      <c r="L143" s="115"/>
      <c r="M143" s="115"/>
    </row>
    <row r="144" spans="1:20">
      <c r="A144" s="21"/>
      <c r="B144" s="623" t="s">
        <v>290</v>
      </c>
      <c r="C144" s="110"/>
      <c r="D144" s="61"/>
      <c r="E144" s="61"/>
      <c r="F144" s="61"/>
      <c r="G144" s="61"/>
      <c r="H144" s="61"/>
      <c r="I144" s="61"/>
      <c r="J144" s="61"/>
      <c r="K144" s="61"/>
      <c r="L144" s="61"/>
      <c r="M144" s="61"/>
      <c r="N144" s="61"/>
    </row>
    <row r="145" spans="1:20">
      <c r="A145" s="21"/>
      <c r="B145" s="620"/>
      <c r="O145"/>
      <c r="P145"/>
      <c r="Q145"/>
      <c r="R145"/>
      <c r="S145"/>
      <c r="T145"/>
    </row>
    <row r="146" spans="1:20">
      <c r="A146" s="21"/>
      <c r="B146" s="628" t="s">
        <v>287</v>
      </c>
    </row>
    <row r="147" spans="1:20">
      <c r="A147" s="21"/>
      <c r="B147" s="620" t="s">
        <v>288</v>
      </c>
      <c r="C147" s="114" t="s">
        <v>297</v>
      </c>
      <c r="D147" s="68">
        <f>D112+D140</f>
        <v>0.43373999457748624</v>
      </c>
      <c r="E147" s="69">
        <f t="shared" ref="E147:K147" si="51">E112+E140</f>
        <v>-3.222044162777431</v>
      </c>
      <c r="F147" s="69">
        <f t="shared" si="51"/>
        <v>-0.19157452200753111</v>
      </c>
      <c r="G147" s="69">
        <f t="shared" si="51"/>
        <v>1.3697563924047635</v>
      </c>
      <c r="H147" s="69">
        <f t="shared" si="51"/>
        <v>-1.6240144837718449</v>
      </c>
      <c r="I147" s="69">
        <f t="shared" si="51"/>
        <v>-4.8117073682259051</v>
      </c>
      <c r="J147" s="69">
        <f t="shared" si="51"/>
        <v>-12.030327602855172</v>
      </c>
      <c r="K147" s="69">
        <f t="shared" si="51"/>
        <v>-12.584574645299586</v>
      </c>
      <c r="L147" s="68">
        <f>SUM(D147:INDEX(D147:K147,0,MATCH('RFPR cover'!$C$7,$D$6:$K$6,0)))</f>
        <v>-20.076171752655632</v>
      </c>
      <c r="M147" s="70">
        <f>SUM(D147:K147)</f>
        <v>-32.660746397955222</v>
      </c>
    </row>
    <row r="148" spans="1:20">
      <c r="A148" s="21"/>
      <c r="B148" s="620" t="s">
        <v>275</v>
      </c>
      <c r="C148" s="114" t="s">
        <v>297</v>
      </c>
      <c r="D148" s="71">
        <f t="shared" ref="D148:K148" si="52">D113+D141</f>
        <v>0.3829423525840383</v>
      </c>
      <c r="E148" s="72">
        <f t="shared" si="52"/>
        <v>-2.8446931047379724</v>
      </c>
      <c r="F148" s="72">
        <f t="shared" si="52"/>
        <v>-0.16913819124332763</v>
      </c>
      <c r="G148" s="72">
        <f t="shared" si="52"/>
        <v>1.2093367960809527</v>
      </c>
      <c r="H148" s="72">
        <f t="shared" si="52"/>
        <v>-1.4338173440794917</v>
      </c>
      <c r="I148" s="72">
        <f t="shared" si="52"/>
        <v>-4.2481822349108018</v>
      </c>
      <c r="J148" s="72">
        <f t="shared" si="52"/>
        <v>-10.621390722987742</v>
      </c>
      <c r="K148" s="72">
        <f t="shared" si="52"/>
        <v>-11.11072688981543</v>
      </c>
      <c r="L148" s="71">
        <f>SUM(D148:INDEX(D148:K148,0,MATCH('RFPR cover'!$C$7,$D$6:$K$6,0)))</f>
        <v>-17.724942449294346</v>
      </c>
      <c r="M148" s="73">
        <f>SUM(D148:K148)</f>
        <v>-28.835669339109778</v>
      </c>
    </row>
    <row r="149" spans="1:20">
      <c r="A149" s="21"/>
      <c r="B149" s="628" t="s">
        <v>289</v>
      </c>
      <c r="C149" s="115" t="s">
        <v>297</v>
      </c>
      <c r="D149" s="101">
        <f>SUM(D147:D148)</f>
        <v>0.81668234716152455</v>
      </c>
      <c r="E149" s="102">
        <f t="shared" ref="E149:K149" si="53">SUM(E147:E148)</f>
        <v>-6.0667372675154034</v>
      </c>
      <c r="F149" s="102">
        <f t="shared" si="53"/>
        <v>-0.36071271325085874</v>
      </c>
      <c r="G149" s="102">
        <f t="shared" si="53"/>
        <v>2.5790931884857162</v>
      </c>
      <c r="H149" s="102">
        <f t="shared" si="53"/>
        <v>-3.0578318278513366</v>
      </c>
      <c r="I149" s="102">
        <f t="shared" si="53"/>
        <v>-9.0598896031367069</v>
      </c>
      <c r="J149" s="102">
        <f t="shared" si="53"/>
        <v>-22.651718325842914</v>
      </c>
      <c r="K149" s="102">
        <f t="shared" si="53"/>
        <v>-23.695301535115014</v>
      </c>
      <c r="L149" s="101">
        <f>SUM(D149:INDEX(D149:K149,0,MATCH('RFPR cover'!$C$7,$D$6:$K$6,0)))</f>
        <v>-37.801114201949979</v>
      </c>
      <c r="M149" s="103">
        <f>SUM(D149:K149)</f>
        <v>-61.496415737064993</v>
      </c>
    </row>
    <row r="150" spans="1:20">
      <c r="A150" s="21"/>
      <c r="B150" s="627"/>
      <c r="D150" s="98"/>
      <c r="E150" s="98"/>
      <c r="F150" s="98"/>
      <c r="G150" s="98"/>
      <c r="H150" s="98"/>
      <c r="I150" s="98"/>
      <c r="J150" s="98"/>
      <c r="K150" s="98"/>
    </row>
    <row r="151" spans="1:20">
      <c r="A151" s="21"/>
      <c r="B151" s="620"/>
    </row>
    <row r="152" spans="1:20">
      <c r="A152" s="61"/>
      <c r="B152" s="619"/>
      <c r="C152" s="110"/>
      <c r="D152" s="61"/>
      <c r="E152" s="61"/>
      <c r="F152" s="61"/>
      <c r="G152" s="61"/>
      <c r="H152" s="61"/>
      <c r="I152" s="61"/>
      <c r="J152" s="61"/>
      <c r="K152" s="61"/>
      <c r="L152" s="61"/>
      <c r="M152" s="61"/>
      <c r="N152" s="61"/>
    </row>
    <row r="153" spans="1:20">
      <c r="B153" s="620"/>
    </row>
    <row r="154" spans="1:20">
      <c r="B154" s="620"/>
    </row>
  </sheetData>
  <sheetProtection algorithmName="SHA-512" hashValue="lRKzoDiviVl4zLYQKQaolbVNlUeRueyFvDfknl3jr74coQ3dtcTuoqyXr7+33f8b+kccm4maFsUbQ48pOrvgtg==" saltValue="jlrfUaqxTdkX9Fip2ds1PQ==" spinCount="100000" sheet="1" formatCells="0" formatColumns="0" formatRows="0" insertColumns="0" insertRows="0" insertHyperlinks="0" deleteColumns="0" deleteRows="0" sort="0" autoFilter="0" pivotTables="0"/>
  <mergeCells count="4">
    <mergeCell ref="O14:Q14"/>
    <mergeCell ref="O42:Q42"/>
    <mergeCell ref="O92:Q92"/>
    <mergeCell ref="O120:Q120"/>
  </mergeCells>
  <conditionalFormatting sqref="D6:K6">
    <cfRule type="expression" dxfId="63" priority="11">
      <formula>AND(D$5="Actuals",E$5="Forecast")</formula>
    </cfRule>
  </conditionalFormatting>
  <conditionalFormatting sqref="B118:M142">
    <cfRule type="expression" dxfId="62" priority="7">
      <formula>$B$38="n/a"</formula>
    </cfRule>
  </conditionalFormatting>
  <conditionalFormatting sqref="D5:K5">
    <cfRule type="expression" dxfId="61" priority="6">
      <formula>AND(D$5="Actuals",E$5="Forecast")</formula>
    </cfRule>
  </conditionalFormatting>
  <conditionalFormatting sqref="B38:N64">
    <cfRule type="expression" dxfId="60" priority="5">
      <formula>$B$38="n/a"</formula>
    </cfRule>
  </conditionalFormatting>
  <conditionalFormatting sqref="G22">
    <cfRule type="expression" dxfId="59" priority="4">
      <formula>G$5="N/A"</formula>
    </cfRule>
  </conditionalFormatting>
  <conditionalFormatting sqref="I22">
    <cfRule type="expression" dxfId="58" priority="3">
      <formula>I$5="N/A"</formula>
    </cfRule>
  </conditionalFormatting>
  <conditionalFormatting sqref="J22">
    <cfRule type="expression" dxfId="57" priority="2">
      <formula>J$5="N/A"</formula>
    </cfRule>
  </conditionalFormatting>
  <conditionalFormatting sqref="D23:K23">
    <cfRule type="expression" dxfId="56" priority="1">
      <formula>D$5="N/A"</formula>
    </cfRule>
  </conditionalFormatting>
  <pageMargins left="0.70866141732283472" right="0.70866141732283472" top="0.74803149606299213" bottom="0.74803149606299213" header="0.31496062992125984" footer="0.31496062992125984"/>
  <pageSetup paperSize="8" scale="32" orientation="landscape" r:id="rId1"/>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topLeftCell="C1" zoomScale="80" zoomScaleNormal="80" workbookViewId="0">
      <pane ySplit="6" topLeftCell="A7" activePane="bottomLeft" state="frozen"/>
      <selection activeCell="B75" sqref="A1:XFD1048576"/>
      <selection pane="bottomLeft" activeCell="G93" sqref="G93"/>
    </sheetView>
  </sheetViews>
  <sheetFormatPr defaultRowHeight="12.75"/>
  <cols>
    <col min="1" max="1" width="8.375" customWidth="1"/>
    <col min="2" max="2" width="71.375" bestFit="1" customWidth="1"/>
    <col min="3" max="3" width="13.375" style="98" customWidth="1"/>
    <col min="4" max="11" width="11.125" customWidth="1"/>
    <col min="12" max="12" width="12.875" customWidth="1"/>
    <col min="13" max="13" width="12.75" customWidth="1"/>
    <col min="14" max="14" width="5" customWidth="1"/>
  </cols>
  <sheetData>
    <row r="1" spans="1:14" s="23" customFormat="1" ht="20.25">
      <c r="A1" s="878" t="s">
        <v>202</v>
      </c>
      <c r="B1" s="879"/>
      <c r="C1" s="880"/>
      <c r="D1" s="881"/>
      <c r="E1" s="881"/>
      <c r="F1" s="881"/>
      <c r="G1" s="881"/>
      <c r="H1" s="881"/>
      <c r="I1" s="213"/>
      <c r="J1" s="213"/>
      <c r="K1" s="213"/>
      <c r="L1" s="213"/>
      <c r="M1" s="213"/>
      <c r="N1" s="876"/>
    </row>
    <row r="2" spans="1:14" s="23" customFormat="1" ht="20.25">
      <c r="A2" s="740" t="str">
        <f>'RFPR cover'!C5</f>
        <v>NGET (SO)</v>
      </c>
      <c r="B2" s="741"/>
      <c r="C2" s="113"/>
      <c r="D2" s="22"/>
      <c r="E2" s="22"/>
      <c r="F2" s="22"/>
      <c r="G2" s="22"/>
      <c r="H2" s="22"/>
      <c r="I2" s="15"/>
      <c r="J2" s="15"/>
      <c r="K2" s="15"/>
      <c r="L2" s="15"/>
      <c r="M2" s="15"/>
      <c r="N2" s="93"/>
    </row>
    <row r="3" spans="1:14" s="23" customFormat="1" ht="20.25">
      <c r="A3" s="882">
        <f>'RFPR cover'!C7</f>
        <v>2020</v>
      </c>
      <c r="B3" s="883"/>
      <c r="C3" s="233"/>
      <c r="D3" s="232"/>
      <c r="E3" s="232"/>
      <c r="F3" s="232"/>
      <c r="G3" s="232"/>
      <c r="H3" s="232"/>
      <c r="I3" s="210"/>
      <c r="J3" s="210"/>
      <c r="K3" s="210"/>
      <c r="L3" s="210"/>
      <c r="M3" s="210"/>
      <c r="N3" s="215"/>
    </row>
    <row r="4" spans="1:14" s="2" customFormat="1" ht="12.75" customHeight="1">
      <c r="B4" s="3"/>
      <c r="C4" s="98"/>
    </row>
    <row r="5" spans="1:14" s="2" customFormat="1" ht="12.75" customHeight="1">
      <c r="B5" s="3"/>
      <c r="C5" s="98"/>
      <c r="D5" s="313" t="str">
        <f>IF(D6&lt;='RFPR cover'!$C$7,"Actuals","Forecast")</f>
        <v>Actuals</v>
      </c>
      <c r="E5" s="314" t="str">
        <f>IF(E6&lt;='RFPR cover'!$C$7,"Actuals","Forecast")</f>
        <v>Actuals</v>
      </c>
      <c r="F5" s="314" t="str">
        <f>IF(F6&lt;='RFPR cover'!$C$7,"Actuals","Forecast")</f>
        <v>Actuals</v>
      </c>
      <c r="G5" s="314" t="str">
        <f>IF(G6&lt;='RFPR cover'!$C$7,"Actuals","Forecast")</f>
        <v>Actuals</v>
      </c>
      <c r="H5" s="314" t="str">
        <f>IF(H6&lt;='RFPR cover'!$C$7,"Actuals","Forecast")</f>
        <v>Actuals</v>
      </c>
      <c r="I5" s="314" t="str">
        <f>IF(I6&lt;='RFPR cover'!$C$7,"Actuals","Forecast")</f>
        <v>Actuals</v>
      </c>
      <c r="J5" s="314" t="str">
        <f>IF(J6&lt;='RFPR cover'!$C$7,"Actuals","Forecast")</f>
        <v>Actuals</v>
      </c>
      <c r="K5" s="315" t="str">
        <f>IF(K6&lt;='RFPR cover'!$C$7,"Actuals","Forecast")</f>
        <v>Forecast</v>
      </c>
    </row>
    <row r="6" spans="1:14" s="2" customFormat="1" ht="29.25" customHeight="1">
      <c r="C6" s="98"/>
      <c r="D6" s="90">
        <f>'RFPR cover'!$C$13</f>
        <v>2014</v>
      </c>
      <c r="E6" s="91">
        <f>D6+1</f>
        <v>2015</v>
      </c>
      <c r="F6" s="91">
        <f t="shared" ref="F6:K6" si="0">E6+1</f>
        <v>2016</v>
      </c>
      <c r="G6" s="91">
        <f t="shared" si="0"/>
        <v>2017</v>
      </c>
      <c r="H6" s="91">
        <f t="shared" si="0"/>
        <v>2018</v>
      </c>
      <c r="I6" s="91">
        <f t="shared" si="0"/>
        <v>2019</v>
      </c>
      <c r="J6" s="91">
        <f t="shared" si="0"/>
        <v>2020</v>
      </c>
      <c r="K6" s="91">
        <f t="shared" si="0"/>
        <v>2021</v>
      </c>
      <c r="L6" s="74" t="str">
        <f>"Cumulative to "&amp;'RFPR cover'!$C$7</f>
        <v>Cumulative to 2020</v>
      </c>
      <c r="M6" s="92" t="s">
        <v>247</v>
      </c>
    </row>
    <row r="7" spans="1:14" s="2" customFormat="1">
      <c r="A7" s="21"/>
      <c r="C7" s="98"/>
    </row>
    <row r="8" spans="1:14" s="2" customFormat="1">
      <c r="A8" s="21"/>
      <c r="B8" s="89" t="s">
        <v>354</v>
      </c>
      <c r="C8" s="110"/>
      <c r="D8" s="60"/>
      <c r="E8" s="60"/>
      <c r="F8" s="60"/>
      <c r="G8" s="60"/>
      <c r="H8" s="60"/>
      <c r="I8" s="60"/>
      <c r="J8" s="60"/>
      <c r="K8" s="60"/>
      <c r="L8" s="60"/>
      <c r="M8" s="60"/>
      <c r="N8" s="60"/>
    </row>
    <row r="9" spans="1:14" s="2" customFormat="1">
      <c r="A9" s="21"/>
      <c r="B9" s="299" t="s">
        <v>355</v>
      </c>
      <c r="C9" s="299"/>
      <c r="D9" s="299"/>
      <c r="E9" s="299"/>
      <c r="F9" s="299"/>
      <c r="G9" s="299"/>
      <c r="H9" s="299"/>
      <c r="I9" s="299"/>
      <c r="J9" s="299"/>
      <c r="K9" s="299"/>
      <c r="L9" s="299"/>
      <c r="M9" s="299"/>
      <c r="N9" s="299"/>
    </row>
    <row r="10" spans="1:14" s="2" customFormat="1">
      <c r="A10" s="21"/>
      <c r="B10" s="5"/>
      <c r="C10" s="98"/>
    </row>
    <row r="11" spans="1:14" s="2" customFormat="1">
      <c r="A11" s="182" t="s">
        <v>277</v>
      </c>
      <c r="B11" s="21" t="str">
        <f>Data!B153</f>
        <v>Electricity Market Reform incentive revenue</v>
      </c>
      <c r="C11" s="114" t="str">
        <f>'RFPR cover'!$C$14</f>
        <v>£m 09/10</v>
      </c>
      <c r="D11" s="760">
        <v>0</v>
      </c>
      <c r="E11" s="492">
        <v>0.125</v>
      </c>
      <c r="F11" s="492">
        <v>7.4999999999999997E-2</v>
      </c>
      <c r="G11" s="492">
        <v>-5.4545454545454612E-2</v>
      </c>
      <c r="H11" s="492">
        <v>1.1475414465294225</v>
      </c>
      <c r="I11" s="492">
        <v>-0.94110092781172194</v>
      </c>
      <c r="J11" s="492">
        <v>1.0986852248289403</v>
      </c>
      <c r="K11" s="492">
        <v>0.24176338150019769</v>
      </c>
      <c r="L11" s="556">
        <f>SUM(D11:INDEX(D11:K11,0,MATCH('RFPR cover'!$C$7,$D$6:$K$6,0)))</f>
        <v>1.4505802890011861</v>
      </c>
      <c r="M11" s="557">
        <f t="shared" ref="M11:M17" si="1">SUM(D11:K11)</f>
        <v>1.6923436705013837</v>
      </c>
    </row>
    <row r="12" spans="1:14" s="2" customFormat="1">
      <c r="A12" s="182" t="s">
        <v>278</v>
      </c>
      <c r="B12" s="21" t="str">
        <f>Data!B154</f>
        <v>Balancing Services Incentive Scheme</v>
      </c>
      <c r="C12" s="114" t="str">
        <f>'RFPR cover'!$C$14</f>
        <v>£m 09/10</v>
      </c>
      <c r="D12" s="492">
        <v>18.902931062553563</v>
      </c>
      <c r="E12" s="492">
        <v>21.008403361344538</v>
      </c>
      <c r="F12" s="492">
        <v>24.958402662229616</v>
      </c>
      <c r="G12" s="492">
        <v>3.3986535830618965</v>
      </c>
      <c r="H12" s="492">
        <v>7.8492935635792778</v>
      </c>
      <c r="I12" s="760">
        <v>0</v>
      </c>
      <c r="J12" s="760">
        <v>0</v>
      </c>
      <c r="K12" s="760">
        <v>0</v>
      </c>
      <c r="L12" s="560">
        <f>SUM(D12:INDEX(D12:K12,0,MATCH('RFPR cover'!$C$7,$D$6:$K$6,0)))</f>
        <v>76.117684232768895</v>
      </c>
      <c r="M12" s="561">
        <f t="shared" si="1"/>
        <v>76.117684232768895</v>
      </c>
    </row>
    <row r="13" spans="1:14" s="2" customFormat="1">
      <c r="A13" s="182" t="s">
        <v>279</v>
      </c>
      <c r="B13" s="21" t="str">
        <f>Data!B155</f>
        <v>Renewable wind forecasting incentive</v>
      </c>
      <c r="C13" s="114" t="str">
        <f>'RFPR cover'!$C$14</f>
        <v>£m 09/10</v>
      </c>
      <c r="D13" s="492">
        <v>0.42673521850899743</v>
      </c>
      <c r="E13" s="492">
        <v>0.60920239747899163</v>
      </c>
      <c r="F13" s="492">
        <v>-0.22027620632279535</v>
      </c>
      <c r="G13" s="492">
        <v>-5.4234527687296426E-2</v>
      </c>
      <c r="H13" s="492">
        <v>-0.20730800684451747</v>
      </c>
      <c r="I13" s="760">
        <v>0</v>
      </c>
      <c r="J13" s="760">
        <v>0</v>
      </c>
      <c r="K13" s="760">
        <v>0</v>
      </c>
      <c r="L13" s="560">
        <f>SUM(D13:INDEX(D13:K13,0,MATCH('RFPR cover'!$C$7,$D$6:$K$6,0)))</f>
        <v>0.55411887513337998</v>
      </c>
      <c r="M13" s="561">
        <f t="shared" si="1"/>
        <v>0.55411887513337998</v>
      </c>
    </row>
    <row r="14" spans="1:14" s="2" customFormat="1">
      <c r="A14" s="182" t="s">
        <v>281</v>
      </c>
      <c r="B14" s="21" t="s">
        <v>602</v>
      </c>
      <c r="C14" s="114" t="str">
        <f>'RFPR cover'!$C$14</f>
        <v>£m 09/10</v>
      </c>
      <c r="D14" s="760">
        <v>0</v>
      </c>
      <c r="E14" s="760">
        <v>0</v>
      </c>
      <c r="F14" s="760">
        <v>0</v>
      </c>
      <c r="G14" s="760">
        <v>0</v>
      </c>
      <c r="H14" s="760">
        <v>0</v>
      </c>
      <c r="I14" s="492">
        <v>0.65498857578065506</v>
      </c>
      <c r="J14" s="492">
        <v>0.74294205052005935</v>
      </c>
      <c r="K14" s="492"/>
      <c r="L14" s="560">
        <f>SUM(D14:INDEX(D14:K14,0,MATCH('RFPR cover'!$C$7,$D$6:$K$6,0)))</f>
        <v>1.3979306263007145</v>
      </c>
      <c r="M14" s="561">
        <f t="shared" si="1"/>
        <v>1.3979306263007145</v>
      </c>
    </row>
    <row r="15" spans="1:14" s="2" customFormat="1">
      <c r="A15" s="182" t="s">
        <v>282</v>
      </c>
      <c r="B15" s="21" t="str">
        <f>Data!B157</f>
        <v/>
      </c>
      <c r="C15" s="114" t="str">
        <f>'RFPR cover'!$C$14</f>
        <v>£m 09/10</v>
      </c>
      <c r="D15" s="494"/>
      <c r="E15" s="495"/>
      <c r="F15" s="495"/>
      <c r="G15" s="495"/>
      <c r="H15" s="495"/>
      <c r="I15" s="495"/>
      <c r="J15" s="495"/>
      <c r="K15" s="495"/>
      <c r="L15" s="560">
        <f>SUM(D15:INDEX(D15:K15,0,MATCH('RFPR cover'!$C$7,$D$6:$K$6,0)))</f>
        <v>0</v>
      </c>
      <c r="M15" s="561">
        <f t="shared" si="1"/>
        <v>0</v>
      </c>
    </row>
    <row r="16" spans="1:14" s="2" customFormat="1">
      <c r="A16" s="182" t="s">
        <v>283</v>
      </c>
      <c r="B16" s="21" t="str">
        <f>Data!B158</f>
        <v/>
      </c>
      <c r="C16" s="114" t="str">
        <f>'RFPR cover'!$C$14</f>
        <v>£m 09/10</v>
      </c>
      <c r="D16" s="494"/>
      <c r="E16" s="495"/>
      <c r="F16" s="495"/>
      <c r="G16" s="495"/>
      <c r="H16" s="495"/>
      <c r="I16" s="495"/>
      <c r="J16" s="495"/>
      <c r="K16" s="495"/>
      <c r="L16" s="560">
        <f>SUM(D16:INDEX(D16:K16,0,MATCH('RFPR cover'!$C$7,$D$6:$K$6,0)))</f>
        <v>0</v>
      </c>
      <c r="M16" s="561">
        <f t="shared" si="1"/>
        <v>0</v>
      </c>
    </row>
    <row r="17" spans="1:16" s="2" customFormat="1">
      <c r="A17" s="182" t="s">
        <v>356</v>
      </c>
      <c r="B17" s="21" t="str">
        <f>Data!B159</f>
        <v/>
      </c>
      <c r="C17" s="114" t="str">
        <f>'RFPR cover'!$C$14</f>
        <v>£m 09/10</v>
      </c>
      <c r="D17" s="681"/>
      <c r="E17" s="682"/>
      <c r="F17" s="682"/>
      <c r="G17" s="682"/>
      <c r="H17" s="682"/>
      <c r="I17" s="682"/>
      <c r="J17" s="682"/>
      <c r="K17" s="683"/>
      <c r="L17" s="560">
        <f>SUM(D17:INDEX(D17:K17,0,MATCH('RFPR cover'!$C$7,$D$6:$K$6,0)))</f>
        <v>0</v>
      </c>
      <c r="M17" s="561">
        <f t="shared" si="1"/>
        <v>0</v>
      </c>
    </row>
    <row r="18" spans="1:16" s="2" customFormat="1">
      <c r="A18" s="21"/>
      <c r="B18" s="5" t="s">
        <v>357</v>
      </c>
      <c r="C18" s="115" t="str">
        <f>'RFPR cover'!$C$14</f>
        <v>£m 09/10</v>
      </c>
      <c r="D18" s="508">
        <f>SUM(D11:D17)</f>
        <v>19.329666281062561</v>
      </c>
      <c r="E18" s="508">
        <f t="shared" ref="E18:K18" si="2">SUM(E11:E17)</f>
        <v>21.74260575882353</v>
      </c>
      <c r="F18" s="508">
        <f t="shared" si="2"/>
        <v>24.813126455906822</v>
      </c>
      <c r="G18" s="508">
        <f t="shared" si="2"/>
        <v>3.2898736008291452</v>
      </c>
      <c r="H18" s="508">
        <f t="shared" si="2"/>
        <v>8.7895270032641832</v>
      </c>
      <c r="I18" s="508">
        <f t="shared" si="2"/>
        <v>-0.28611235203106689</v>
      </c>
      <c r="J18" s="508">
        <f t="shared" si="2"/>
        <v>1.8416272753489995</v>
      </c>
      <c r="K18" s="508">
        <f t="shared" si="2"/>
        <v>0.24176338150019769</v>
      </c>
      <c r="L18" s="508">
        <f>SUM(L11:L17)</f>
        <v>79.520314023204179</v>
      </c>
      <c r="M18" s="508">
        <f>SUM(M11:M17)</f>
        <v>79.762077404704385</v>
      </c>
    </row>
    <row r="19" spans="1:16" s="2" customFormat="1">
      <c r="A19" s="21"/>
      <c r="B19" s="5"/>
      <c r="C19" s="115"/>
      <c r="D19" s="115"/>
      <c r="E19" s="115"/>
      <c r="F19" s="115"/>
      <c r="G19" s="115"/>
      <c r="H19" s="115"/>
      <c r="I19" s="115"/>
      <c r="J19" s="115"/>
      <c r="K19" s="115"/>
      <c r="L19" s="115"/>
      <c r="M19" s="115"/>
    </row>
    <row r="20" spans="1:16" s="2" customFormat="1">
      <c r="A20" s="21"/>
      <c r="B20" s="5" t="s">
        <v>358</v>
      </c>
      <c r="C20" s="115"/>
      <c r="D20" s="115"/>
      <c r="E20" s="115"/>
      <c r="F20" s="115"/>
      <c r="G20" s="115"/>
      <c r="H20" s="115"/>
      <c r="I20" s="115"/>
      <c r="J20" s="115"/>
      <c r="K20" s="115"/>
      <c r="L20" s="115"/>
      <c r="M20" s="115"/>
    </row>
    <row r="21" spans="1:16" s="2" customFormat="1">
      <c r="A21" s="223" t="str">
        <f>A11</f>
        <v>a</v>
      </c>
      <c r="B21" s="1004" t="s">
        <v>603</v>
      </c>
      <c r="C21" s="1004"/>
      <c r="D21" s="1004"/>
      <c r="E21" s="1004"/>
      <c r="F21" s="1004"/>
      <c r="G21" s="1004"/>
      <c r="H21" s="1004"/>
      <c r="I21" s="1004"/>
      <c r="J21" s="1004"/>
      <c r="K21" s="1004"/>
      <c r="L21" s="1004"/>
      <c r="M21" s="1004"/>
    </row>
    <row r="22" spans="1:16" s="2" customFormat="1">
      <c r="A22" s="223" t="str">
        <f>A12</f>
        <v>b</v>
      </c>
      <c r="B22" s="1004" t="s">
        <v>604</v>
      </c>
      <c r="C22" s="1004"/>
      <c r="D22" s="1004"/>
      <c r="E22" s="1004"/>
      <c r="F22" s="1004"/>
      <c r="G22" s="1004"/>
      <c r="H22" s="1004"/>
      <c r="I22" s="1004"/>
      <c r="J22" s="1004"/>
      <c r="K22" s="1004"/>
      <c r="L22" s="1004"/>
      <c r="M22" s="1004"/>
    </row>
    <row r="23" spans="1:16" s="2" customFormat="1">
      <c r="A23" s="223" t="str">
        <f>A13</f>
        <v>c</v>
      </c>
      <c r="B23" s="1004" t="s">
        <v>605</v>
      </c>
      <c r="C23" s="1004"/>
      <c r="D23" s="1004"/>
      <c r="E23" s="1004"/>
      <c r="F23" s="1004"/>
      <c r="G23" s="1004"/>
      <c r="H23" s="1004"/>
      <c r="I23" s="1004"/>
      <c r="J23" s="1004"/>
      <c r="K23" s="1004"/>
      <c r="L23" s="1004"/>
      <c r="M23" s="1004"/>
    </row>
    <row r="24" spans="1:16" s="2" customFormat="1">
      <c r="A24" s="223" t="str">
        <f>A14</f>
        <v>d</v>
      </c>
      <c r="B24" s="1004" t="s">
        <v>606</v>
      </c>
      <c r="C24" s="1004"/>
      <c r="D24" s="1004"/>
      <c r="E24" s="1004"/>
      <c r="F24" s="1004"/>
      <c r="G24" s="1004"/>
      <c r="H24" s="1004"/>
      <c r="I24" s="1004"/>
      <c r="J24" s="1004"/>
      <c r="K24" s="1004"/>
      <c r="L24" s="1004"/>
      <c r="M24" s="1004"/>
    </row>
    <row r="25" spans="1:16" s="2" customFormat="1">
      <c r="A25" s="223" t="str">
        <f>A15</f>
        <v>e</v>
      </c>
      <c r="B25" s="1004"/>
      <c r="C25" s="1004"/>
      <c r="D25" s="1004"/>
      <c r="E25" s="1004"/>
      <c r="F25" s="1004"/>
      <c r="G25" s="1004"/>
      <c r="H25" s="1004"/>
      <c r="I25" s="1004"/>
      <c r="J25" s="1004"/>
      <c r="K25" s="1004"/>
      <c r="L25" s="1004"/>
      <c r="M25" s="1004"/>
    </row>
    <row r="26" spans="1:16" s="2" customFormat="1">
      <c r="A26" s="223" t="s">
        <v>283</v>
      </c>
      <c r="B26" s="954"/>
      <c r="C26" s="954"/>
      <c r="D26" s="954"/>
      <c r="E26" s="954"/>
      <c r="F26" s="954"/>
      <c r="G26" s="954"/>
      <c r="H26" s="954"/>
      <c r="I26" s="954"/>
      <c r="J26" s="954"/>
      <c r="K26" s="954"/>
      <c r="L26" s="954"/>
      <c r="M26" s="954"/>
    </row>
    <row r="27" spans="1:16" s="2" customFormat="1">
      <c r="A27" s="223" t="s">
        <v>356</v>
      </c>
      <c r="B27" s="954"/>
      <c r="C27" s="954"/>
      <c r="D27" s="954"/>
      <c r="E27" s="954"/>
      <c r="F27" s="954"/>
      <c r="G27" s="954"/>
      <c r="H27" s="954"/>
      <c r="I27" s="954"/>
      <c r="J27" s="954"/>
      <c r="K27" s="954"/>
      <c r="L27" s="954"/>
      <c r="M27" s="954"/>
    </row>
    <row r="28" spans="1:16" s="435" customFormat="1">
      <c r="A28" s="24"/>
      <c r="B28" s="439"/>
      <c r="C28" s="439"/>
      <c r="D28" s="439"/>
      <c r="E28" s="439"/>
      <c r="F28" s="439"/>
      <c r="G28" s="439"/>
      <c r="H28" s="439"/>
      <c r="I28" s="439"/>
      <c r="J28" s="439"/>
      <c r="K28" s="439"/>
      <c r="L28" s="439"/>
      <c r="M28" s="439"/>
    </row>
    <row r="29" spans="1:16" s="2" customFormat="1">
      <c r="B29" s="5"/>
      <c r="C29" s="98"/>
      <c r="D29" s="35"/>
      <c r="E29" s="35"/>
      <c r="F29" s="35"/>
      <c r="G29" s="35"/>
      <c r="H29" s="35"/>
      <c r="I29" s="35"/>
      <c r="J29" s="35"/>
      <c r="K29" s="35"/>
    </row>
    <row r="30" spans="1:16" s="2" customFormat="1">
      <c r="A30" s="21"/>
      <c r="B30" s="89" t="s">
        <v>359</v>
      </c>
      <c r="C30" s="110"/>
      <c r="D30" s="60"/>
      <c r="E30" s="60"/>
      <c r="F30" s="60"/>
      <c r="G30" s="60"/>
      <c r="H30" s="60"/>
      <c r="I30" s="60"/>
      <c r="J30" s="60"/>
      <c r="K30" s="60"/>
      <c r="L30" s="60"/>
      <c r="M30" s="60"/>
      <c r="N30" s="60"/>
    </row>
    <row r="31" spans="1:16" s="2" customFormat="1">
      <c r="A31" s="21"/>
      <c r="B31" s="21"/>
      <c r="C31" s="21"/>
      <c r="D31" s="21"/>
      <c r="E31" s="21"/>
      <c r="F31" s="21"/>
      <c r="G31" s="21"/>
      <c r="H31" s="21"/>
      <c r="I31" s="21"/>
      <c r="J31" s="21"/>
      <c r="K31" s="21"/>
      <c r="L31" s="21"/>
      <c r="M31" s="21"/>
      <c r="N31" s="21"/>
      <c r="O31" s="21"/>
      <c r="P31" s="21"/>
    </row>
    <row r="32" spans="1:16" s="2" customFormat="1">
      <c r="A32" s="21"/>
      <c r="B32" s="299" t="s">
        <v>360</v>
      </c>
      <c r="C32" s="243"/>
      <c r="D32" s="245"/>
      <c r="E32" s="245"/>
      <c r="F32" s="245"/>
      <c r="G32" s="245"/>
      <c r="H32" s="245"/>
      <c r="I32" s="245"/>
      <c r="J32" s="245"/>
      <c r="K32" s="245"/>
      <c r="L32" s="245"/>
      <c r="M32" s="245"/>
      <c r="N32" s="245"/>
    </row>
    <row r="33" spans="1:14" s="2" customFormat="1">
      <c r="A33" s="21"/>
      <c r="B33" s="300" t="s">
        <v>361</v>
      </c>
      <c r="C33" s="243"/>
      <c r="D33" s="245"/>
      <c r="E33" s="245"/>
      <c r="F33" s="245"/>
      <c r="G33" s="245"/>
      <c r="H33" s="245"/>
      <c r="I33" s="245"/>
      <c r="J33" s="245"/>
      <c r="K33" s="245"/>
      <c r="L33" s="245"/>
      <c r="M33" s="245"/>
      <c r="N33" s="245"/>
    </row>
    <row r="34" spans="1:14" s="2" customFormat="1">
      <c r="A34" s="21"/>
      <c r="B34" s="300" t="s">
        <v>362</v>
      </c>
      <c r="C34" s="243"/>
      <c r="D34" s="245"/>
      <c r="E34" s="245"/>
      <c r="F34" s="245"/>
      <c r="G34" s="245"/>
      <c r="H34" s="245"/>
      <c r="I34" s="245"/>
      <c r="J34" s="245"/>
      <c r="K34" s="245"/>
      <c r="L34" s="245"/>
      <c r="M34" s="245"/>
      <c r="N34" s="245"/>
    </row>
    <row r="35" spans="1:14" s="2" customFormat="1">
      <c r="A35" s="21"/>
      <c r="B35" s="300" t="s">
        <v>150</v>
      </c>
      <c r="C35" s="243"/>
      <c r="D35" s="245"/>
      <c r="E35" s="245"/>
      <c r="F35" s="245"/>
      <c r="G35" s="245"/>
      <c r="H35" s="245"/>
      <c r="I35" s="245"/>
      <c r="J35" s="245"/>
      <c r="K35" s="245"/>
      <c r="L35" s="245"/>
      <c r="M35" s="245"/>
      <c r="N35" s="245"/>
    </row>
    <row r="36" spans="1:14" s="2" customFormat="1">
      <c r="A36" s="21"/>
      <c r="B36" s="300" t="s">
        <v>363</v>
      </c>
      <c r="C36" s="243"/>
      <c r="D36" s="245"/>
      <c r="E36" s="245"/>
      <c r="F36" s="245"/>
      <c r="G36" s="245"/>
      <c r="H36" s="245"/>
      <c r="I36" s="245"/>
      <c r="J36" s="245"/>
      <c r="K36" s="245"/>
      <c r="L36" s="245"/>
      <c r="M36" s="245"/>
      <c r="N36" s="245"/>
    </row>
    <row r="37" spans="1:14" s="2" customFormat="1">
      <c r="A37" s="21"/>
      <c r="B37" s="300" t="s">
        <v>148</v>
      </c>
      <c r="C37" s="243"/>
      <c r="D37" s="245"/>
      <c r="E37" s="245"/>
      <c r="F37" s="245"/>
      <c r="G37" s="245"/>
      <c r="H37" s="245"/>
      <c r="I37" s="245"/>
      <c r="J37" s="245"/>
      <c r="K37" s="245"/>
      <c r="L37" s="245"/>
      <c r="M37" s="245"/>
      <c r="N37" s="245"/>
    </row>
    <row r="38" spans="1:14" s="2" customFormat="1">
      <c r="B38" s="5"/>
      <c r="C38" s="98"/>
    </row>
    <row r="39" spans="1:14" s="2" customFormat="1">
      <c r="A39" s="119" t="str">
        <f t="shared" ref="A39:A45" si="3">A11</f>
        <v>a</v>
      </c>
      <c r="B39" s="21" t="str">
        <f>$B$11&amp;""</f>
        <v>Electricity Market Reform incentive revenue</v>
      </c>
      <c r="C39" s="114" t="str">
        <f>'RFPR cover'!$C$14</f>
        <v>£m 09/10</v>
      </c>
      <c r="D39" s="556">
        <f>D51</f>
        <v>0</v>
      </c>
      <c r="E39" s="556">
        <f t="shared" ref="E39:K39" si="4">E51</f>
        <v>0.1</v>
      </c>
      <c r="F39" s="556">
        <f t="shared" si="4"/>
        <v>6.0749999999999998E-2</v>
      </c>
      <c r="G39" s="556">
        <f t="shared" si="4"/>
        <v>-4.4181818181818239E-2</v>
      </c>
      <c r="H39" s="556">
        <f t="shared" si="4"/>
        <v>0.92950857168883227</v>
      </c>
      <c r="I39" s="556">
        <f t="shared" si="4"/>
        <v>-0.76229175152749484</v>
      </c>
      <c r="J39" s="556">
        <f t="shared" si="4"/>
        <v>0.88993503211144165</v>
      </c>
      <c r="K39" s="556">
        <f t="shared" si="4"/>
        <v>0.19582833901516014</v>
      </c>
      <c r="L39" s="556">
        <f>SUM(D39:INDEX(D39:K39,0,MATCH('RFPR cover'!$C$7,$D$6:$K$6,0)))</f>
        <v>1.173720034090961</v>
      </c>
      <c r="M39" s="557">
        <f t="shared" ref="M39:M45" si="5">SUM(D39:K39)</f>
        <v>1.3695483731061211</v>
      </c>
    </row>
    <row r="40" spans="1:14" s="2" customFormat="1">
      <c r="A40" s="119" t="str">
        <f t="shared" si="3"/>
        <v>b</v>
      </c>
      <c r="B40" s="21" t="str">
        <f>$B$12&amp;""</f>
        <v>Balancing Services Incentive Scheme</v>
      </c>
      <c r="C40" s="114" t="str">
        <f>'RFPR cover'!$C$14</f>
        <v>£m 09/10</v>
      </c>
      <c r="D40" s="556">
        <f>D55</f>
        <v>14.555256918166243</v>
      </c>
      <c r="E40" s="556">
        <f t="shared" ref="E40:K40" si="6">E55</f>
        <v>16.596638655462186</v>
      </c>
      <c r="F40" s="556">
        <f t="shared" si="6"/>
        <v>19.966722129783694</v>
      </c>
      <c r="G40" s="556">
        <f t="shared" si="6"/>
        <v>2.7189228664495175</v>
      </c>
      <c r="H40" s="556">
        <f t="shared" si="6"/>
        <v>6.3579277864992152</v>
      </c>
      <c r="I40" s="556">
        <f t="shared" si="6"/>
        <v>0</v>
      </c>
      <c r="J40" s="556">
        <f t="shared" si="6"/>
        <v>0</v>
      </c>
      <c r="K40" s="556">
        <f t="shared" si="6"/>
        <v>0</v>
      </c>
      <c r="L40" s="560">
        <f>SUM(D40:INDEX(D40:K40,0,MATCH('RFPR cover'!$C$7,$D$6:$K$6,0)))</f>
        <v>60.195468356360863</v>
      </c>
      <c r="M40" s="561">
        <f t="shared" si="5"/>
        <v>60.195468356360863</v>
      </c>
    </row>
    <row r="41" spans="1:14" s="2" customFormat="1">
      <c r="A41" s="119" t="str">
        <f t="shared" si="3"/>
        <v>c</v>
      </c>
      <c r="B41" s="21" t="str">
        <f>$B$13&amp;""</f>
        <v>Renewable wind forecasting incentive</v>
      </c>
      <c r="C41" s="114" t="str">
        <f>'RFPR cover'!$C$14</f>
        <v>£m 09/10</v>
      </c>
      <c r="D41" s="556">
        <f>D59</f>
        <v>0.32858611825192802</v>
      </c>
      <c r="E41" s="556">
        <f t="shared" ref="E41:K41" si="7">E59</f>
        <v>0.48126989400840342</v>
      </c>
      <c r="F41" s="556">
        <f t="shared" si="7"/>
        <v>-0.17622096505823628</v>
      </c>
      <c r="G41" s="556">
        <f t="shared" si="7"/>
        <v>-4.3387622149837143E-2</v>
      </c>
      <c r="H41" s="556">
        <f t="shared" si="7"/>
        <v>-0.16791948554405917</v>
      </c>
      <c r="I41" s="556">
        <f t="shared" si="7"/>
        <v>0</v>
      </c>
      <c r="J41" s="556">
        <f t="shared" si="7"/>
        <v>0</v>
      </c>
      <c r="K41" s="556">
        <f t="shared" si="7"/>
        <v>0</v>
      </c>
      <c r="L41" s="560">
        <f>SUM(D41:INDEX(D41:K41,0,MATCH('RFPR cover'!$C$7,$D$6:$K$6,0)))</f>
        <v>0.42232793950819886</v>
      </c>
      <c r="M41" s="561">
        <f t="shared" si="5"/>
        <v>0.42232793950819886</v>
      </c>
    </row>
    <row r="42" spans="1:14" s="2" customFormat="1">
      <c r="A42" s="119" t="str">
        <f t="shared" si="3"/>
        <v>d</v>
      </c>
      <c r="B42" s="21" t="str">
        <f>$B$14&amp;""</f>
        <v>New ESO Incentive (FY19 onwards)</v>
      </c>
      <c r="C42" s="114" t="str">
        <f>'RFPR cover'!$C$14</f>
        <v>£m 09/10</v>
      </c>
      <c r="D42" s="556">
        <f>D63</f>
        <v>0</v>
      </c>
      <c r="E42" s="556">
        <f t="shared" ref="E42:K42" si="8">E63</f>
        <v>0</v>
      </c>
      <c r="F42" s="556">
        <f t="shared" si="8"/>
        <v>0</v>
      </c>
      <c r="G42" s="556">
        <f t="shared" si="8"/>
        <v>0</v>
      </c>
      <c r="H42" s="556">
        <f t="shared" si="8"/>
        <v>0</v>
      </c>
      <c r="I42" s="556">
        <f t="shared" si="8"/>
        <v>0.53054074638233062</v>
      </c>
      <c r="J42" s="556">
        <f t="shared" si="8"/>
        <v>0.60178306092124811</v>
      </c>
      <c r="K42" s="556">
        <f t="shared" si="8"/>
        <v>0</v>
      </c>
      <c r="L42" s="560">
        <f>SUM(D42:INDEX(D42:K42,0,MATCH('RFPR cover'!$C$7,$D$6:$K$6,0)))</f>
        <v>1.1323238073035786</v>
      </c>
      <c r="M42" s="561">
        <f t="shared" si="5"/>
        <v>1.1323238073035786</v>
      </c>
    </row>
    <row r="43" spans="1:14" s="2" customFormat="1">
      <c r="A43" s="119" t="str">
        <f t="shared" si="3"/>
        <v>e</v>
      </c>
      <c r="B43" s="21" t="str">
        <f>$B$15&amp;""</f>
        <v/>
      </c>
      <c r="C43" s="114" t="str">
        <f>'RFPR cover'!$C$14</f>
        <v>£m 09/10</v>
      </c>
      <c r="D43" s="556">
        <f>D67</f>
        <v>0</v>
      </c>
      <c r="E43" s="556">
        <f t="shared" ref="E43:K43" si="9">E67</f>
        <v>0</v>
      </c>
      <c r="F43" s="556">
        <f t="shared" si="9"/>
        <v>0</v>
      </c>
      <c r="G43" s="556">
        <f t="shared" si="9"/>
        <v>0</v>
      </c>
      <c r="H43" s="556">
        <f t="shared" si="9"/>
        <v>0</v>
      </c>
      <c r="I43" s="556">
        <f t="shared" si="9"/>
        <v>0</v>
      </c>
      <c r="J43" s="556">
        <f t="shared" si="9"/>
        <v>0</v>
      </c>
      <c r="K43" s="556">
        <f t="shared" si="9"/>
        <v>0</v>
      </c>
      <c r="L43" s="560">
        <f>SUM(D43:INDEX(D43:K43,0,MATCH('RFPR cover'!$C$7,$D$6:$K$6,0)))</f>
        <v>0</v>
      </c>
      <c r="M43" s="561">
        <f t="shared" si="5"/>
        <v>0</v>
      </c>
    </row>
    <row r="44" spans="1:14" s="2" customFormat="1">
      <c r="A44" s="119" t="str">
        <f t="shared" si="3"/>
        <v>f</v>
      </c>
      <c r="B44" s="21" t="str">
        <f>$B$16&amp;""</f>
        <v/>
      </c>
      <c r="C44" s="114" t="str">
        <f>'RFPR cover'!$C$14</f>
        <v>£m 09/10</v>
      </c>
      <c r="D44" s="556">
        <f>D71</f>
        <v>0</v>
      </c>
      <c r="E44" s="556">
        <f t="shared" ref="E44:K44" si="10">E71</f>
        <v>0</v>
      </c>
      <c r="F44" s="556">
        <f t="shared" si="10"/>
        <v>0</v>
      </c>
      <c r="G44" s="556">
        <f t="shared" si="10"/>
        <v>0</v>
      </c>
      <c r="H44" s="556">
        <f t="shared" si="10"/>
        <v>0</v>
      </c>
      <c r="I44" s="556">
        <f t="shared" si="10"/>
        <v>0</v>
      </c>
      <c r="J44" s="556">
        <f t="shared" si="10"/>
        <v>0</v>
      </c>
      <c r="K44" s="556">
        <f t="shared" si="10"/>
        <v>0</v>
      </c>
      <c r="L44" s="560">
        <f>SUM(D44:INDEX(D44:K44,0,MATCH('RFPR cover'!$C$7,$D$6:$K$6,0)))</f>
        <v>0</v>
      </c>
      <c r="M44" s="561">
        <f t="shared" si="5"/>
        <v>0</v>
      </c>
    </row>
    <row r="45" spans="1:14" s="2" customFormat="1">
      <c r="A45" s="119" t="str">
        <f t="shared" si="3"/>
        <v>g</v>
      </c>
      <c r="B45" s="21" t="str">
        <f>$B$17&amp;""</f>
        <v/>
      </c>
      <c r="C45" s="114" t="str">
        <f>'RFPR cover'!$C$14</f>
        <v>£m 09/10</v>
      </c>
      <c r="D45" s="556">
        <f>D75</f>
        <v>0</v>
      </c>
      <c r="E45" s="556">
        <f t="shared" ref="E45:K45" si="11">E75</f>
        <v>0</v>
      </c>
      <c r="F45" s="556">
        <f t="shared" si="11"/>
        <v>0</v>
      </c>
      <c r="G45" s="556">
        <f t="shared" si="11"/>
        <v>0</v>
      </c>
      <c r="H45" s="556">
        <f t="shared" si="11"/>
        <v>0</v>
      </c>
      <c r="I45" s="556">
        <f t="shared" si="11"/>
        <v>0</v>
      </c>
      <c r="J45" s="556">
        <f t="shared" si="11"/>
        <v>0</v>
      </c>
      <c r="K45" s="556">
        <f t="shared" si="11"/>
        <v>0</v>
      </c>
      <c r="L45" s="560">
        <f>SUM(D45:INDEX(D45:K45,0,MATCH('RFPR cover'!$C$7,$D$6:$K$6,0)))</f>
        <v>0</v>
      </c>
      <c r="M45" s="561">
        <f t="shared" si="5"/>
        <v>0</v>
      </c>
    </row>
    <row r="46" spans="1:14" s="2" customFormat="1">
      <c r="B46" s="5" t="s">
        <v>364</v>
      </c>
      <c r="C46" s="115" t="str">
        <f>'RFPR cover'!$C$14</f>
        <v>£m 09/10</v>
      </c>
      <c r="D46" s="508">
        <f>SUM(D39:D45)</f>
        <v>14.883843036418172</v>
      </c>
      <c r="E46" s="508">
        <f t="shared" ref="E46:M46" si="12">SUM(E39:E45)</f>
        <v>17.17790854947059</v>
      </c>
      <c r="F46" s="508">
        <f t="shared" si="12"/>
        <v>19.851251164725458</v>
      </c>
      <c r="G46" s="508">
        <f t="shared" si="12"/>
        <v>2.6313534261178622</v>
      </c>
      <c r="H46" s="509">
        <f t="shared" si="12"/>
        <v>7.1195168726439881</v>
      </c>
      <c r="I46" s="509">
        <f t="shared" si="12"/>
        <v>-0.23175100514516422</v>
      </c>
      <c r="J46" s="509">
        <f t="shared" si="12"/>
        <v>1.4917180930326897</v>
      </c>
      <c r="K46" s="509">
        <f t="shared" si="12"/>
        <v>0.19582833901516014</v>
      </c>
      <c r="L46" s="508">
        <f t="shared" si="12"/>
        <v>62.923840137263603</v>
      </c>
      <c r="M46" s="508">
        <f t="shared" si="12"/>
        <v>63.119668476278761</v>
      </c>
    </row>
    <row r="47" spans="1:14" s="2" customFormat="1">
      <c r="B47" s="5"/>
      <c r="C47" s="115"/>
      <c r="D47" s="115"/>
      <c r="E47" s="115"/>
      <c r="F47" s="115"/>
      <c r="G47" s="115"/>
      <c r="H47" s="115"/>
      <c r="I47" s="115"/>
      <c r="J47" s="115"/>
      <c r="K47" s="115"/>
      <c r="L47" s="115"/>
      <c r="M47" s="115"/>
    </row>
    <row r="48" spans="1:14" s="2" customFormat="1">
      <c r="B48" s="5"/>
      <c r="C48" s="115"/>
      <c r="D48" s="120"/>
      <c r="E48" s="115"/>
      <c r="F48" s="115"/>
      <c r="G48" s="115"/>
      <c r="H48" s="115"/>
      <c r="I48" s="115"/>
      <c r="J48" s="115"/>
      <c r="K48" s="115"/>
      <c r="L48" s="115"/>
      <c r="M48" s="115"/>
    </row>
    <row r="49" spans="1:13" s="2" customFormat="1">
      <c r="A49" s="119" t="str">
        <f>$A$11</f>
        <v>a</v>
      </c>
      <c r="B49" s="130" t="str">
        <f>INDEX($B$11:$B$15,MATCH($A49,$A$11:$A$15,0),0)&amp;""</f>
        <v>Electricity Market Reform incentive revenue</v>
      </c>
      <c r="C49" s="114" t="str">
        <f>'RFPR cover'!$C$14</f>
        <v>£m 09/10</v>
      </c>
      <c r="D49" s="884">
        <f>INDEX($D$11:$K$17,MATCH($A49,$A$11:$A$17,0),0)</f>
        <v>0</v>
      </c>
      <c r="E49" s="884">
        <f t="shared" ref="E49:K49" si="13">INDEX($D$11:$K$17,MATCH($A49,$A$11:$A$17,0),0)</f>
        <v>0.125</v>
      </c>
      <c r="F49" s="884">
        <f t="shared" si="13"/>
        <v>7.4999999999999997E-2</v>
      </c>
      <c r="G49" s="884">
        <f t="shared" si="13"/>
        <v>-5.4545454545454612E-2</v>
      </c>
      <c r="H49" s="884">
        <f t="shared" si="13"/>
        <v>1.1475414465294225</v>
      </c>
      <c r="I49" s="884">
        <f t="shared" si="13"/>
        <v>-0.94110092781172194</v>
      </c>
      <c r="J49" s="884">
        <f t="shared" si="13"/>
        <v>1.0986852248289403</v>
      </c>
      <c r="K49" s="884">
        <f t="shared" si="13"/>
        <v>0.24176338150019769</v>
      </c>
      <c r="L49" s="884">
        <f>SUM(D49:INDEX(D49:K49,0,MATCH('RFPR cover'!$C$7,$D$6:$K$6,0)))</f>
        <v>1.4505802890011861</v>
      </c>
      <c r="M49" s="885">
        <f>SUM(D49:K49)</f>
        <v>1.6923436705013837</v>
      </c>
    </row>
    <row r="50" spans="1:13" s="2" customFormat="1">
      <c r="A50" s="119"/>
      <c r="B50" s="21" t="s">
        <v>293</v>
      </c>
      <c r="C50" s="938" t="s">
        <v>363</v>
      </c>
      <c r="D50" s="706">
        <f>IF($C50=$B$33,$B$33,INDEX(Data!$G$14:$G$30,MATCH('R5 - Output Incentives'!D$6+RIGHT('R5 - Output Incentives'!$C50,2),Data!$C$14:$C$30,0),0))</f>
        <v>0.2</v>
      </c>
      <c r="E50" s="707">
        <f>IF($C50=$B$33,$B$33,INDEX(Data!$G$14:$G$30,MATCH('R5 - Output Incentives'!E$6+RIGHT('R5 - Output Incentives'!$C50,2),Data!$C$14:$C$30,0),0))</f>
        <v>0.2</v>
      </c>
      <c r="F50" s="707">
        <f>IF($C50=$B$33,$B$33,INDEX(Data!$G$14:$G$30,MATCH('R5 - Output Incentives'!F$6+RIGHT('R5 - Output Incentives'!$C50,2),Data!$C$14:$C$30,0),0))</f>
        <v>0.19</v>
      </c>
      <c r="G50" s="707">
        <f>IF($C50=$B$33,$B$33,INDEX(Data!$G$14:$G$30,MATCH('R5 - Output Incentives'!G$6+RIGHT('R5 - Output Incentives'!$C50,2),Data!$C$14:$C$30,0),0))</f>
        <v>0.19</v>
      </c>
      <c r="H50" s="707">
        <f>IF($C50=$B$33,$B$33,INDEX(Data!$G$14:$G$30,MATCH('R5 - Output Incentives'!H$6+RIGHT('R5 - Output Incentives'!$C50,2),Data!$C$14:$C$30,0),0))</f>
        <v>0.19</v>
      </c>
      <c r="I50" s="707">
        <f>IF($C50=$B$33,$B$33,INDEX(Data!$G$14:$G$30,MATCH('R5 - Output Incentives'!I$6+RIGHT('R5 - Output Incentives'!$C50,2),Data!$C$14:$C$30,0),0))</f>
        <v>0.19</v>
      </c>
      <c r="J50" s="707">
        <f>IF($C50=$B$33,$B$33,INDEX(Data!$G$14:$G$30,MATCH('R5 - Output Incentives'!J$6+RIGHT('R5 - Output Incentives'!$C50,2),Data!$C$14:$C$30,0),0))</f>
        <v>0.19</v>
      </c>
      <c r="K50" s="708">
        <f>IF($C50=$B$33,$B$33,INDEX(Data!$G$14:$G$30,MATCH('R5 - Output Incentives'!K$6+RIGHT('R5 - Output Incentives'!$C50,2),Data!$C$14:$C$30,0),0))</f>
        <v>0.19</v>
      </c>
      <c r="L50" s="886"/>
      <c r="M50" s="887"/>
    </row>
    <row r="51" spans="1:13" s="2" customFormat="1">
      <c r="A51" s="119"/>
      <c r="B51" s="21" t="s">
        <v>294</v>
      </c>
      <c r="C51" s="114"/>
      <c r="D51" s="508">
        <f>IFERROR(D49*(1-D50),0)</f>
        <v>0</v>
      </c>
      <c r="E51" s="509">
        <f t="shared" ref="E51:K51" si="14">IFERROR(E49*(1-E50),0)</f>
        <v>0.1</v>
      </c>
      <c r="F51" s="509">
        <f t="shared" si="14"/>
        <v>6.0749999999999998E-2</v>
      </c>
      <c r="G51" s="509">
        <f t="shared" si="14"/>
        <v>-4.4181818181818239E-2</v>
      </c>
      <c r="H51" s="509">
        <f t="shared" si="14"/>
        <v>0.92950857168883227</v>
      </c>
      <c r="I51" s="509">
        <f t="shared" si="14"/>
        <v>-0.76229175152749484</v>
      </c>
      <c r="J51" s="509">
        <f t="shared" si="14"/>
        <v>0.88993503211144165</v>
      </c>
      <c r="K51" s="509">
        <f t="shared" si="14"/>
        <v>0.19582833901516014</v>
      </c>
      <c r="L51" s="554">
        <f>SUM(D51:INDEX(D51:K51,0,MATCH('RFPR cover'!$C$7,$D$6:$K$6,0)))</f>
        <v>1.173720034090961</v>
      </c>
      <c r="M51" s="555">
        <f>SUM(D51:K51)</f>
        <v>1.3695483731061211</v>
      </c>
    </row>
    <row r="52" spans="1:13" s="2" customFormat="1">
      <c r="A52" s="119"/>
      <c r="B52" s="34"/>
      <c r="C52" s="115"/>
      <c r="D52" s="115"/>
      <c r="E52" s="115"/>
      <c r="F52" s="115"/>
      <c r="G52" s="115"/>
      <c r="H52" s="115"/>
      <c r="I52" s="115"/>
      <c r="J52" s="115"/>
      <c r="K52" s="115"/>
      <c r="L52" s="115"/>
      <c r="M52" s="115"/>
    </row>
    <row r="53" spans="1:13" s="2" customFormat="1">
      <c r="A53" s="119" t="str">
        <f>$A$12</f>
        <v>b</v>
      </c>
      <c r="B53" s="130" t="str">
        <f>INDEX($B$11:$B$15,MATCH($A53,$A$11:$A$15,0),0)&amp;""</f>
        <v>Balancing Services Incentive Scheme</v>
      </c>
      <c r="C53" s="114" t="str">
        <f>'RFPR cover'!$C$14</f>
        <v>£m 09/10</v>
      </c>
      <c r="D53" s="884">
        <f>INDEX($D$11:$K$17,MATCH($A53,$A$11:$A$17,0),0)</f>
        <v>18.902931062553563</v>
      </c>
      <c r="E53" s="884">
        <f t="shared" ref="E53:K53" si="15">INDEX($D$11:$K$17,MATCH($A53,$A$11:$A$17,0),0)</f>
        <v>21.008403361344538</v>
      </c>
      <c r="F53" s="884">
        <f t="shared" si="15"/>
        <v>24.958402662229616</v>
      </c>
      <c r="G53" s="884">
        <f t="shared" si="15"/>
        <v>3.3986535830618965</v>
      </c>
      <c r="H53" s="884">
        <f t="shared" si="15"/>
        <v>7.8492935635792778</v>
      </c>
      <c r="I53" s="884">
        <f t="shared" si="15"/>
        <v>0</v>
      </c>
      <c r="J53" s="884">
        <f t="shared" si="15"/>
        <v>0</v>
      </c>
      <c r="K53" s="884">
        <f t="shared" si="15"/>
        <v>0</v>
      </c>
      <c r="L53" s="556">
        <f>SUM(D53:INDEX(D53:K53,0,MATCH('RFPR cover'!$C$7,$D$6:$K$6,0)))</f>
        <v>76.117684232768895</v>
      </c>
      <c r="M53" s="557">
        <f>SUM(D53:K53)</f>
        <v>76.117684232768895</v>
      </c>
    </row>
    <row r="54" spans="1:13" s="2" customFormat="1">
      <c r="A54" s="119"/>
      <c r="B54" s="21" t="s">
        <v>293</v>
      </c>
      <c r="C54" s="938" t="s">
        <v>362</v>
      </c>
      <c r="D54" s="706">
        <f>IF($C54=$B$33,$B$33,INDEX(Data!$G$14:$G$30,MATCH('R5 - Output Incentives'!D$6+RIGHT('R5 - Output Incentives'!$C54,2),Data!$C$14:$C$30,0),0))</f>
        <v>0.23</v>
      </c>
      <c r="E54" s="707">
        <f>IF($C54=$B$33,$B$33,INDEX(Data!$G$14:$G$30,MATCH('R5 - Output Incentives'!E$6+RIGHT('R5 - Output Incentives'!$C54,2),Data!$C$14:$C$30,0),0))</f>
        <v>0.21</v>
      </c>
      <c r="F54" s="707">
        <f>IF($C54=$B$33,$B$33,INDEX(Data!$G$14:$G$30,MATCH('R5 - Output Incentives'!F$6+RIGHT('R5 - Output Incentives'!$C54,2),Data!$C$14:$C$30,0),0))</f>
        <v>0.2</v>
      </c>
      <c r="G54" s="707">
        <f>IF($C54=$B$33,$B$33,INDEX(Data!$G$14:$G$30,MATCH('R5 - Output Incentives'!G$6+RIGHT('R5 - Output Incentives'!$C54,2),Data!$C$14:$C$30,0),0))</f>
        <v>0.2</v>
      </c>
      <c r="H54" s="707">
        <f>IF($C54=$B$33,$B$33,INDEX(Data!$G$14:$G$30,MATCH('R5 - Output Incentives'!H$6+RIGHT('R5 - Output Incentives'!$C54,2),Data!$C$14:$C$30,0),0))</f>
        <v>0.19</v>
      </c>
      <c r="I54" s="707">
        <f>IF($C54=$B$33,$B$33,INDEX(Data!$G$14:$G$30,MATCH('R5 - Output Incentives'!I$6+RIGHT('R5 - Output Incentives'!$C54,2),Data!$C$14:$C$30,0),0))</f>
        <v>0.19</v>
      </c>
      <c r="J54" s="707">
        <f>IF($C54=$B$33,$B$33,INDEX(Data!$G$14:$G$30,MATCH('R5 - Output Incentives'!J$6+RIGHT('R5 - Output Incentives'!$C54,2),Data!$C$14:$C$30,0),0))</f>
        <v>0.19</v>
      </c>
      <c r="K54" s="708">
        <f>IF($C54=$B$33,$B$33,INDEX(Data!$G$14:$G$30,MATCH('R5 - Output Incentives'!K$6+RIGHT('R5 - Output Incentives'!$C54,2),Data!$C$14:$C$30,0),0))</f>
        <v>0.19</v>
      </c>
      <c r="L54" s="886"/>
      <c r="M54" s="887"/>
    </row>
    <row r="55" spans="1:13" s="2" customFormat="1">
      <c r="A55" s="119"/>
      <c r="B55" s="21" t="s">
        <v>294</v>
      </c>
      <c r="C55" s="114"/>
      <c r="D55" s="508">
        <f>IFERROR(D53*(1-D54),0)</f>
        <v>14.555256918166243</v>
      </c>
      <c r="E55" s="509">
        <f t="shared" ref="E55:K55" si="16">IFERROR(E53*(1-E54),0)</f>
        <v>16.596638655462186</v>
      </c>
      <c r="F55" s="509">
        <f t="shared" si="16"/>
        <v>19.966722129783694</v>
      </c>
      <c r="G55" s="509">
        <f t="shared" si="16"/>
        <v>2.7189228664495175</v>
      </c>
      <c r="H55" s="509">
        <f t="shared" si="16"/>
        <v>6.3579277864992152</v>
      </c>
      <c r="I55" s="509">
        <f t="shared" si="16"/>
        <v>0</v>
      </c>
      <c r="J55" s="509">
        <f t="shared" si="16"/>
        <v>0</v>
      </c>
      <c r="K55" s="509">
        <f t="shared" si="16"/>
        <v>0</v>
      </c>
      <c r="L55" s="554">
        <f>SUM(D55:INDEX(D55:K55,0,MATCH('RFPR cover'!$C$7,$D$6:$K$6,0)))</f>
        <v>60.195468356360863</v>
      </c>
      <c r="M55" s="555">
        <f>SUM(D55:K55)</f>
        <v>60.195468356360863</v>
      </c>
    </row>
    <row r="56" spans="1:13" s="2" customFormat="1">
      <c r="A56" s="119"/>
      <c r="B56" s="34"/>
      <c r="C56" s="115"/>
      <c r="D56" s="115"/>
      <c r="E56" s="115"/>
      <c r="F56" s="115"/>
      <c r="G56" s="115"/>
      <c r="H56" s="115"/>
      <c r="I56" s="115"/>
      <c r="J56" s="115"/>
      <c r="K56" s="115"/>
      <c r="L56" s="115"/>
      <c r="M56" s="115"/>
    </row>
    <row r="57" spans="1:13" s="2" customFormat="1">
      <c r="A57" s="119" t="str">
        <f>$A$13</f>
        <v>c</v>
      </c>
      <c r="B57" s="130" t="str">
        <f>INDEX($B$11:$B$15,MATCH($A57,$A$11:$A$15,0),0)&amp;""</f>
        <v>Renewable wind forecasting incentive</v>
      </c>
      <c r="C57" s="114" t="str">
        <f>'RFPR cover'!$C$14</f>
        <v>£m 09/10</v>
      </c>
      <c r="D57" s="884">
        <f>INDEX($D$11:$K$17,MATCH($A57,$A$11:$A$17,0),0)</f>
        <v>0.42673521850899743</v>
      </c>
      <c r="E57" s="884">
        <f t="shared" ref="E57:K57" si="17">INDEX($D$11:$K$17,MATCH($A57,$A$11:$A$17,0),0)</f>
        <v>0.60920239747899163</v>
      </c>
      <c r="F57" s="884">
        <f t="shared" si="17"/>
        <v>-0.22027620632279535</v>
      </c>
      <c r="G57" s="884">
        <f t="shared" si="17"/>
        <v>-5.4234527687296426E-2</v>
      </c>
      <c r="H57" s="884">
        <f t="shared" si="17"/>
        <v>-0.20730800684451747</v>
      </c>
      <c r="I57" s="884">
        <f t="shared" si="17"/>
        <v>0</v>
      </c>
      <c r="J57" s="884">
        <f t="shared" si="17"/>
        <v>0</v>
      </c>
      <c r="K57" s="884">
        <f t="shared" si="17"/>
        <v>0</v>
      </c>
      <c r="L57" s="556">
        <f>SUM(D57:INDEX(D57:K57,0,MATCH('RFPR cover'!$C$7,$D$6:$K$6,0)))</f>
        <v>0.55411887513337998</v>
      </c>
      <c r="M57" s="557">
        <f>SUM(D57:K57)</f>
        <v>0.55411887513337998</v>
      </c>
    </row>
    <row r="58" spans="1:13" s="2" customFormat="1">
      <c r="A58" s="119"/>
      <c r="B58" s="21" t="s">
        <v>293</v>
      </c>
      <c r="C58" s="938" t="s">
        <v>362</v>
      </c>
      <c r="D58" s="706">
        <f>IF($C58=$B$33,$B$33,INDEX(Data!$G$14:$G$30,MATCH('R5 - Output Incentives'!D$6+RIGHT('R5 - Output Incentives'!$C58,2),Data!$C$14:$C$30,0),0))</f>
        <v>0.23</v>
      </c>
      <c r="E58" s="707">
        <f>IF($C58=$B$33,$B$33,INDEX(Data!$G$14:$G$30,MATCH('R5 - Output Incentives'!E$6+RIGHT('R5 - Output Incentives'!$C58,2),Data!$C$14:$C$30,0),0))</f>
        <v>0.21</v>
      </c>
      <c r="F58" s="707">
        <f>IF($C58=$B$33,$B$33,INDEX(Data!$G$14:$G$30,MATCH('R5 - Output Incentives'!F$6+RIGHT('R5 - Output Incentives'!$C58,2),Data!$C$14:$C$30,0),0))</f>
        <v>0.2</v>
      </c>
      <c r="G58" s="707">
        <f>IF($C58=$B$33,$B$33,INDEX(Data!$G$14:$G$30,MATCH('R5 - Output Incentives'!G$6+RIGHT('R5 - Output Incentives'!$C58,2),Data!$C$14:$C$30,0),0))</f>
        <v>0.2</v>
      </c>
      <c r="H58" s="707">
        <f>IF($C58=$B$33,$B$33,INDEX(Data!$G$14:$G$30,MATCH('R5 - Output Incentives'!H$6+RIGHT('R5 - Output Incentives'!$C58,2),Data!$C$14:$C$30,0),0))</f>
        <v>0.19</v>
      </c>
      <c r="I58" s="707">
        <f>IF($C58=$B$33,$B$33,INDEX(Data!$G$14:$G$30,MATCH('R5 - Output Incentives'!I$6+RIGHT('R5 - Output Incentives'!$C58,2),Data!$C$14:$C$30,0),0))</f>
        <v>0.19</v>
      </c>
      <c r="J58" s="707">
        <f>IF($C58=$B$33,$B$33,INDEX(Data!$G$14:$G$30,MATCH('R5 - Output Incentives'!J$6+RIGHT('R5 - Output Incentives'!$C58,2),Data!$C$14:$C$30,0),0))</f>
        <v>0.19</v>
      </c>
      <c r="K58" s="708">
        <f>IF($C58=$B$33,$B$33,INDEX(Data!$G$14:$G$30,MATCH('R5 - Output Incentives'!K$6+RIGHT('R5 - Output Incentives'!$C58,2),Data!$C$14:$C$30,0),0))</f>
        <v>0.19</v>
      </c>
      <c r="L58" s="886"/>
      <c r="M58" s="887"/>
    </row>
    <row r="59" spans="1:13" s="2" customFormat="1">
      <c r="A59" s="119"/>
      <c r="B59" s="21" t="s">
        <v>294</v>
      </c>
      <c r="C59" s="114"/>
      <c r="D59" s="508">
        <f>IFERROR(D57*(1-D58),0)</f>
        <v>0.32858611825192802</v>
      </c>
      <c r="E59" s="509">
        <f t="shared" ref="E59:K59" si="18">IFERROR(E57*(1-E58),0)</f>
        <v>0.48126989400840342</v>
      </c>
      <c r="F59" s="509">
        <f t="shared" si="18"/>
        <v>-0.17622096505823628</v>
      </c>
      <c r="G59" s="509">
        <f t="shared" si="18"/>
        <v>-4.3387622149837143E-2</v>
      </c>
      <c r="H59" s="509">
        <f t="shared" si="18"/>
        <v>-0.16791948554405917</v>
      </c>
      <c r="I59" s="509">
        <f t="shared" si="18"/>
        <v>0</v>
      </c>
      <c r="J59" s="509">
        <f t="shared" si="18"/>
        <v>0</v>
      </c>
      <c r="K59" s="509">
        <f t="shared" si="18"/>
        <v>0</v>
      </c>
      <c r="L59" s="554">
        <f>SUM(D59:INDEX(D59:K59,0,MATCH('RFPR cover'!$C$7,$D$6:$K$6,0)))</f>
        <v>0.42232793950819886</v>
      </c>
      <c r="M59" s="555">
        <f>SUM(D59:K59)</f>
        <v>0.42232793950819886</v>
      </c>
    </row>
    <row r="60" spans="1:13" s="2" customFormat="1">
      <c r="A60" s="119"/>
      <c r="B60" s="34"/>
      <c r="C60" s="115"/>
      <c r="D60" s="115"/>
      <c r="E60" s="115"/>
      <c r="F60" s="115"/>
      <c r="G60" s="115"/>
      <c r="H60" s="115"/>
      <c r="I60" s="115"/>
      <c r="J60" s="115"/>
      <c r="K60" s="115"/>
      <c r="L60" s="115"/>
      <c r="M60" s="115"/>
    </row>
    <row r="61" spans="1:13" s="2" customFormat="1">
      <c r="A61" s="119" t="str">
        <f>$A$14</f>
        <v>d</v>
      </c>
      <c r="B61" s="130" t="str">
        <f>INDEX($B$11:$B$15,MATCH($A61,$A$11:$A$15,0),0)&amp;""</f>
        <v>New ESO Incentive (FY19 onwards)</v>
      </c>
      <c r="C61" s="114" t="str">
        <f>'RFPR cover'!$C$14</f>
        <v>£m 09/10</v>
      </c>
      <c r="D61" s="884">
        <f>INDEX($D$11:$K$17,MATCH($A61,$A$11:$A$17,0),0)</f>
        <v>0</v>
      </c>
      <c r="E61" s="884">
        <f t="shared" ref="E61:K61" si="19">INDEX($D$11:$K$17,MATCH($A61,$A$11:$A$17,0),0)</f>
        <v>0</v>
      </c>
      <c r="F61" s="884">
        <f t="shared" si="19"/>
        <v>0</v>
      </c>
      <c r="G61" s="884">
        <f t="shared" si="19"/>
        <v>0</v>
      </c>
      <c r="H61" s="884">
        <f t="shared" si="19"/>
        <v>0</v>
      </c>
      <c r="I61" s="884">
        <f t="shared" si="19"/>
        <v>0.65498857578065506</v>
      </c>
      <c r="J61" s="884">
        <f t="shared" si="19"/>
        <v>0.74294205052005935</v>
      </c>
      <c r="K61" s="884">
        <f t="shared" si="19"/>
        <v>0</v>
      </c>
      <c r="L61" s="556">
        <f>SUM(D61:INDEX(D61:K61,0,MATCH('RFPR cover'!$C$7,$D$6:$K$6,0)))</f>
        <v>1.3979306263007145</v>
      </c>
      <c r="M61" s="557">
        <f>SUM(D61:K61)</f>
        <v>1.3979306263007145</v>
      </c>
    </row>
    <row r="62" spans="1:13" s="2" customFormat="1">
      <c r="A62" s="119"/>
      <c r="B62" s="21" t="s">
        <v>293</v>
      </c>
      <c r="C62" s="938" t="s">
        <v>362</v>
      </c>
      <c r="D62" s="706">
        <f>IF($C62=$B$33,$B$33,INDEX(Data!$G$14:$G$30,MATCH('R5 - Output Incentives'!D$6+RIGHT('R5 - Output Incentives'!$C62,2),Data!$C$14:$C$30,0),0))</f>
        <v>0.23</v>
      </c>
      <c r="E62" s="707">
        <f>IF($C62=$B$33,$B$33,INDEX(Data!$G$14:$G$30,MATCH('R5 - Output Incentives'!E$6+RIGHT('R5 - Output Incentives'!$C62,2),Data!$C$14:$C$30,0),0))</f>
        <v>0.21</v>
      </c>
      <c r="F62" s="707">
        <f>IF($C62=$B$33,$B$33,INDEX(Data!$G$14:$G$30,MATCH('R5 - Output Incentives'!F$6+RIGHT('R5 - Output Incentives'!$C62,2),Data!$C$14:$C$30,0),0))</f>
        <v>0.2</v>
      </c>
      <c r="G62" s="707">
        <f>IF($C62=$B$33,$B$33,INDEX(Data!$G$14:$G$30,MATCH('R5 - Output Incentives'!G$6+RIGHT('R5 - Output Incentives'!$C62,2),Data!$C$14:$C$30,0),0))</f>
        <v>0.2</v>
      </c>
      <c r="H62" s="707">
        <f>IF($C62=$B$33,$B$33,INDEX(Data!$G$14:$G$30,MATCH('R5 - Output Incentives'!H$6+RIGHT('R5 - Output Incentives'!$C62,2),Data!$C$14:$C$30,0),0))</f>
        <v>0.19</v>
      </c>
      <c r="I62" s="707">
        <f>IF($C62=$B$33,$B$33,INDEX(Data!$G$14:$G$30,MATCH('R5 - Output Incentives'!I$6+RIGHT('R5 - Output Incentives'!$C62,2),Data!$C$14:$C$30,0),0))</f>
        <v>0.19</v>
      </c>
      <c r="J62" s="707">
        <f>IF($C62=$B$33,$B$33,INDEX(Data!$G$14:$G$30,MATCH('R5 - Output Incentives'!J$6+RIGHT('R5 - Output Incentives'!$C62,2),Data!$C$14:$C$30,0),0))</f>
        <v>0.19</v>
      </c>
      <c r="K62" s="708">
        <f>IF($C62=$B$33,$B$33,INDEX(Data!$G$14:$G$30,MATCH('R5 - Output Incentives'!K$6+RIGHT('R5 - Output Incentives'!$C62,2),Data!$C$14:$C$30,0),0))</f>
        <v>0.19</v>
      </c>
      <c r="L62" s="886"/>
      <c r="M62" s="887"/>
    </row>
    <row r="63" spans="1:13" s="2" customFormat="1">
      <c r="A63" s="119"/>
      <c r="B63" s="21" t="s">
        <v>294</v>
      </c>
      <c r="C63" s="114"/>
      <c r="D63" s="508">
        <f>IFERROR(D61*(1-D62),0)</f>
        <v>0</v>
      </c>
      <c r="E63" s="509">
        <f t="shared" ref="E63:K63" si="20">IFERROR(E61*(1-E62),0)</f>
        <v>0</v>
      </c>
      <c r="F63" s="509">
        <f t="shared" si="20"/>
        <v>0</v>
      </c>
      <c r="G63" s="509">
        <f t="shared" si="20"/>
        <v>0</v>
      </c>
      <c r="H63" s="509">
        <f t="shared" si="20"/>
        <v>0</v>
      </c>
      <c r="I63" s="509">
        <f t="shared" si="20"/>
        <v>0.53054074638233062</v>
      </c>
      <c r="J63" s="509">
        <f t="shared" si="20"/>
        <v>0.60178306092124811</v>
      </c>
      <c r="K63" s="509">
        <f t="shared" si="20"/>
        <v>0</v>
      </c>
      <c r="L63" s="554">
        <f>SUM(D63:INDEX(D63:K63,0,MATCH('RFPR cover'!$C$7,$D$6:$K$6,0)))</f>
        <v>1.1323238073035786</v>
      </c>
      <c r="M63" s="555">
        <f>SUM(D63:K63)</f>
        <v>1.1323238073035786</v>
      </c>
    </row>
    <row r="64" spans="1:13" s="2" customFormat="1">
      <c r="A64" s="119"/>
      <c r="B64" s="34"/>
      <c r="C64" s="115"/>
      <c r="D64" s="115"/>
      <c r="E64" s="115"/>
      <c r="F64" s="115"/>
      <c r="G64" s="115"/>
      <c r="H64" s="115"/>
      <c r="I64" s="115"/>
      <c r="J64" s="115"/>
      <c r="K64" s="115"/>
      <c r="L64" s="115"/>
      <c r="M64" s="115"/>
    </row>
    <row r="65" spans="1:14" s="2" customFormat="1">
      <c r="A65" s="119" t="str">
        <f>$A$15</f>
        <v>e</v>
      </c>
      <c r="B65" s="130" t="str">
        <f>INDEX($B$11:$B$15,MATCH($A65,$A$11:$A$15,0),0)&amp;""</f>
        <v/>
      </c>
      <c r="C65" s="114" t="str">
        <f>'RFPR cover'!$C$14</f>
        <v>£m 09/10</v>
      </c>
      <c r="D65" s="884">
        <f>INDEX($D$11:$K$17,MATCH($A65,$A$11:$A$17,0),0)</f>
        <v>0</v>
      </c>
      <c r="E65" s="884">
        <f t="shared" ref="E65:K65" si="21">INDEX($D$11:$K$17,MATCH($A65,$A$11:$A$17,0),0)</f>
        <v>0</v>
      </c>
      <c r="F65" s="884">
        <f t="shared" si="21"/>
        <v>0</v>
      </c>
      <c r="G65" s="884">
        <f t="shared" si="21"/>
        <v>0</v>
      </c>
      <c r="H65" s="884">
        <f t="shared" si="21"/>
        <v>0</v>
      </c>
      <c r="I65" s="884">
        <f t="shared" si="21"/>
        <v>0</v>
      </c>
      <c r="J65" s="884">
        <f t="shared" si="21"/>
        <v>0</v>
      </c>
      <c r="K65" s="884">
        <f t="shared" si="21"/>
        <v>0</v>
      </c>
      <c r="L65" s="556">
        <f>SUM(D65:INDEX(D65:K65,0,MATCH('RFPR cover'!$C$7,$D$6:$K$6,0)))</f>
        <v>0</v>
      </c>
      <c r="M65" s="557">
        <f>SUM(D65:K65)</f>
        <v>0</v>
      </c>
    </row>
    <row r="66" spans="1:14" s="2" customFormat="1">
      <c r="A66" s="119"/>
      <c r="B66" s="21" t="s">
        <v>293</v>
      </c>
      <c r="C66" s="938" t="s">
        <v>361</v>
      </c>
      <c r="D66" s="706" t="str">
        <f>IF($C66=$B$33,$B$33,INDEX(Data!$G$14:$G$30,MATCH('R5 - Output Incentives'!D$6+RIGHT('R5 - Output Incentives'!$C66,2),Data!$C$14:$C$30,0),0))</f>
        <v>-</v>
      </c>
      <c r="E66" s="707" t="str">
        <f>IF($C66=$B$33,$B$33,INDEX(Data!$G$14:$G$30,MATCH('R5 - Output Incentives'!E$6+RIGHT('R5 - Output Incentives'!$C66,2),Data!$C$14:$C$30,0),0))</f>
        <v>-</v>
      </c>
      <c r="F66" s="707" t="str">
        <f>IF($C66=$B$33,$B$33,INDEX(Data!$G$14:$G$30,MATCH('R5 - Output Incentives'!F$6+RIGHT('R5 - Output Incentives'!$C66,2),Data!$C$14:$C$30,0),0))</f>
        <v>-</v>
      </c>
      <c r="G66" s="707" t="str">
        <f>IF($C66=$B$33,$B$33,INDEX(Data!$G$14:$G$30,MATCH('R5 - Output Incentives'!G$6+RIGHT('R5 - Output Incentives'!$C66,2),Data!$C$14:$C$30,0),0))</f>
        <v>-</v>
      </c>
      <c r="H66" s="707" t="str">
        <f>IF($C66=$B$33,$B$33,INDEX(Data!$G$14:$G$30,MATCH('R5 - Output Incentives'!H$6+RIGHT('R5 - Output Incentives'!$C66,2),Data!$C$14:$C$30,0),0))</f>
        <v>-</v>
      </c>
      <c r="I66" s="707" t="str">
        <f>IF($C66=$B$33,$B$33,INDEX(Data!$G$14:$G$30,MATCH('R5 - Output Incentives'!I$6+RIGHT('R5 - Output Incentives'!$C66,2),Data!$C$14:$C$30,0),0))</f>
        <v>-</v>
      </c>
      <c r="J66" s="707" t="str">
        <f>IF($C66=$B$33,$B$33,INDEX(Data!$G$14:$G$30,MATCH('R5 - Output Incentives'!J$6+RIGHT('R5 - Output Incentives'!$C66,2),Data!$C$14:$C$30,0),0))</f>
        <v>-</v>
      </c>
      <c r="K66" s="708" t="str">
        <f>IF($C66=$B$33,$B$33,INDEX(Data!$G$14:$G$30,MATCH('R5 - Output Incentives'!K$6+RIGHT('R5 - Output Incentives'!$C66,2),Data!$C$14:$C$30,0),0))</f>
        <v>-</v>
      </c>
      <c r="L66" s="886"/>
      <c r="M66" s="887"/>
    </row>
    <row r="67" spans="1:14" s="2" customFormat="1">
      <c r="A67" s="119"/>
      <c r="B67" s="21" t="s">
        <v>294</v>
      </c>
      <c r="C67" s="114"/>
      <c r="D67" s="508">
        <f>IFERROR(D65*(1-D66),0)</f>
        <v>0</v>
      </c>
      <c r="E67" s="509">
        <f t="shared" ref="E67:K67" si="22">IFERROR(E65*(1-E66),0)</f>
        <v>0</v>
      </c>
      <c r="F67" s="509">
        <f t="shared" si="22"/>
        <v>0</v>
      </c>
      <c r="G67" s="509">
        <f t="shared" si="22"/>
        <v>0</v>
      </c>
      <c r="H67" s="509">
        <f t="shared" si="22"/>
        <v>0</v>
      </c>
      <c r="I67" s="509">
        <f t="shared" si="22"/>
        <v>0</v>
      </c>
      <c r="J67" s="509">
        <f t="shared" si="22"/>
        <v>0</v>
      </c>
      <c r="K67" s="509">
        <f t="shared" si="22"/>
        <v>0</v>
      </c>
      <c r="L67" s="554">
        <f>SUM(D67:INDEX(D67:K67,0,MATCH('RFPR cover'!$C$7,$D$6:$K$6,0)))</f>
        <v>0</v>
      </c>
      <c r="M67" s="555">
        <f>SUM(D67:K67)</f>
        <v>0</v>
      </c>
    </row>
    <row r="68" spans="1:14" s="2" customFormat="1">
      <c r="A68" s="119"/>
      <c r="B68" s="34"/>
      <c r="C68" s="115"/>
      <c r="D68" s="115"/>
      <c r="E68" s="115"/>
      <c r="F68" s="115"/>
      <c r="G68" s="115"/>
      <c r="H68" s="115"/>
      <c r="I68" s="115"/>
      <c r="J68" s="115"/>
      <c r="K68" s="115"/>
      <c r="L68" s="115"/>
      <c r="M68" s="115"/>
    </row>
    <row r="69" spans="1:14" s="2" customFormat="1">
      <c r="A69" s="119" t="str">
        <f>$A$16</f>
        <v>f</v>
      </c>
      <c r="B69" s="130" t="str">
        <f>INDEX($B$11:$B$17,MATCH($A69,$A$11:$A$17,0),0)&amp;""</f>
        <v/>
      </c>
      <c r="C69" s="114" t="str">
        <f>'RFPR cover'!$C$14</f>
        <v>£m 09/10</v>
      </c>
      <c r="D69" s="884">
        <f>INDEX($D$11:$K$17,MATCH($A69,$A$11:$A$17,0),0)</f>
        <v>0</v>
      </c>
      <c r="E69" s="884">
        <f t="shared" ref="E69:K69" si="23">INDEX($D$11:$K$17,MATCH($A69,$A$11:$A$17,0),0)</f>
        <v>0</v>
      </c>
      <c r="F69" s="884">
        <f t="shared" si="23"/>
        <v>0</v>
      </c>
      <c r="G69" s="884">
        <f t="shared" si="23"/>
        <v>0</v>
      </c>
      <c r="H69" s="884">
        <f t="shared" si="23"/>
        <v>0</v>
      </c>
      <c r="I69" s="884">
        <f t="shared" si="23"/>
        <v>0</v>
      </c>
      <c r="J69" s="884">
        <f t="shared" si="23"/>
        <v>0</v>
      </c>
      <c r="K69" s="884">
        <f t="shared" si="23"/>
        <v>0</v>
      </c>
      <c r="L69" s="556">
        <f>SUM(D69:INDEX(D69:K69,0,MATCH('RFPR cover'!$C$7,$D$6:$K$6,0)))</f>
        <v>0</v>
      </c>
      <c r="M69" s="557">
        <f>SUM(D69:K69)</f>
        <v>0</v>
      </c>
    </row>
    <row r="70" spans="1:14" s="2" customFormat="1">
      <c r="A70" s="119"/>
      <c r="B70" s="21" t="s">
        <v>293</v>
      </c>
      <c r="C70" s="938" t="s">
        <v>361</v>
      </c>
      <c r="D70" s="706" t="str">
        <f>IF($C70=$B$33,$B$33,INDEX(Data!$G$14:$G$30,MATCH('R5 - Output Incentives'!D$6+RIGHT('R5 - Output Incentives'!$C70,2),Data!$C$14:$C$30,0),0))</f>
        <v>-</v>
      </c>
      <c r="E70" s="707" t="str">
        <f>IF($C70=$B$33,$B$33,INDEX(Data!$G$14:$G$30,MATCH('R5 - Output Incentives'!E$6+RIGHT('R5 - Output Incentives'!$C70,2),Data!$C$14:$C$30,0),0))</f>
        <v>-</v>
      </c>
      <c r="F70" s="707" t="str">
        <f>IF($C70=$B$33,$B$33,INDEX(Data!$G$14:$G$30,MATCH('R5 - Output Incentives'!F$6+RIGHT('R5 - Output Incentives'!$C70,2),Data!$C$14:$C$30,0),0))</f>
        <v>-</v>
      </c>
      <c r="G70" s="707" t="str">
        <f>IF($C70=$B$33,$B$33,INDEX(Data!$G$14:$G$30,MATCH('R5 - Output Incentives'!G$6+RIGHT('R5 - Output Incentives'!$C70,2),Data!$C$14:$C$30,0),0))</f>
        <v>-</v>
      </c>
      <c r="H70" s="707" t="str">
        <f>IF($C70=$B$33,$B$33,INDEX(Data!$G$14:$G$30,MATCH('R5 - Output Incentives'!H$6+RIGHT('R5 - Output Incentives'!$C70,2),Data!$C$14:$C$30,0),0))</f>
        <v>-</v>
      </c>
      <c r="I70" s="707" t="str">
        <f>IF($C70=$B$33,$B$33,INDEX(Data!$G$14:$G$30,MATCH('R5 - Output Incentives'!I$6+RIGHT('R5 - Output Incentives'!$C70,2),Data!$C$14:$C$30,0),0))</f>
        <v>-</v>
      </c>
      <c r="J70" s="707" t="str">
        <f>IF($C70=$B$33,$B$33,INDEX(Data!$G$14:$G$30,MATCH('R5 - Output Incentives'!J$6+RIGHT('R5 - Output Incentives'!$C70,2),Data!$C$14:$C$30,0),0))</f>
        <v>-</v>
      </c>
      <c r="K70" s="708" t="str">
        <f>IF($C70=$B$33,$B$33,INDEX(Data!$G$14:$G$30,MATCH('R5 - Output Incentives'!K$6+RIGHT('R5 - Output Incentives'!$C70,2),Data!$C$14:$C$30,0),0))</f>
        <v>-</v>
      </c>
      <c r="L70" s="886"/>
      <c r="M70" s="887"/>
    </row>
    <row r="71" spans="1:14" s="2" customFormat="1">
      <c r="A71" s="119"/>
      <c r="B71" s="21" t="s">
        <v>294</v>
      </c>
      <c r="C71" s="114"/>
      <c r="D71" s="508">
        <f>IFERROR(D69*(1-D70),0)</f>
        <v>0</v>
      </c>
      <c r="E71" s="509">
        <f t="shared" ref="E71:K71" si="24">IFERROR(E69*(1-E70),0)</f>
        <v>0</v>
      </c>
      <c r="F71" s="509">
        <f t="shared" si="24"/>
        <v>0</v>
      </c>
      <c r="G71" s="509">
        <f t="shared" si="24"/>
        <v>0</v>
      </c>
      <c r="H71" s="509">
        <f t="shared" si="24"/>
        <v>0</v>
      </c>
      <c r="I71" s="509">
        <f t="shared" si="24"/>
        <v>0</v>
      </c>
      <c r="J71" s="509">
        <f t="shared" si="24"/>
        <v>0</v>
      </c>
      <c r="K71" s="509">
        <f t="shared" si="24"/>
        <v>0</v>
      </c>
      <c r="L71" s="554">
        <f>SUM(D71:INDEX(D71:K71,0,MATCH('RFPR cover'!$C$7,$D$6:$K$6,0)))</f>
        <v>0</v>
      </c>
      <c r="M71" s="555">
        <f>SUM(D71:K71)</f>
        <v>0</v>
      </c>
    </row>
    <row r="72" spans="1:14" s="2" customFormat="1">
      <c r="A72" s="119"/>
      <c r="B72" s="34"/>
      <c r="C72" s="115"/>
      <c r="D72" s="115"/>
      <c r="E72" s="115"/>
      <c r="F72" s="115"/>
      <c r="G72" s="115"/>
      <c r="H72" s="115"/>
      <c r="I72" s="115"/>
      <c r="J72" s="115"/>
      <c r="K72" s="115"/>
      <c r="L72" s="115"/>
      <c r="M72" s="115"/>
    </row>
    <row r="73" spans="1:14" s="2" customFormat="1">
      <c r="A73" s="119" t="s">
        <v>356</v>
      </c>
      <c r="B73" s="130" t="str">
        <f>INDEX($B$11:$B$17,MATCH($A73,$A$11:$A$17,0),0)&amp;""</f>
        <v/>
      </c>
      <c r="C73" s="114" t="str">
        <f>'RFPR cover'!$C$14</f>
        <v>£m 09/10</v>
      </c>
      <c r="D73" s="884">
        <f>INDEX($D$11:$K$17,MATCH($A73,$A$11:$A$17,0),0)</f>
        <v>0</v>
      </c>
      <c r="E73" s="884">
        <f t="shared" ref="E73:K73" si="25">INDEX($D$11:$K$17,MATCH($A73,$A$11:$A$17,0),0)</f>
        <v>0</v>
      </c>
      <c r="F73" s="884">
        <f t="shared" si="25"/>
        <v>0</v>
      </c>
      <c r="G73" s="884">
        <f t="shared" si="25"/>
        <v>0</v>
      </c>
      <c r="H73" s="884">
        <f t="shared" si="25"/>
        <v>0</v>
      </c>
      <c r="I73" s="884">
        <f t="shared" si="25"/>
        <v>0</v>
      </c>
      <c r="J73" s="884">
        <f t="shared" si="25"/>
        <v>0</v>
      </c>
      <c r="K73" s="884">
        <f t="shared" si="25"/>
        <v>0</v>
      </c>
      <c r="L73" s="556">
        <f>SUM(D73:INDEX(D73:K73,0,MATCH('RFPR cover'!$C$7,$D$6:$K$6,0)))</f>
        <v>0</v>
      </c>
      <c r="M73" s="557">
        <f>SUM(D73:K73)</f>
        <v>0</v>
      </c>
    </row>
    <row r="74" spans="1:14" s="2" customFormat="1">
      <c r="A74" s="119"/>
      <c r="B74" s="21" t="s">
        <v>293</v>
      </c>
      <c r="C74" s="938" t="s">
        <v>361</v>
      </c>
      <c r="D74" s="706" t="str">
        <f>IF($C74=$B$33,$B$33,INDEX(Data!$G$14:$G$30,MATCH('R5 - Output Incentives'!D$6+RIGHT('R5 - Output Incentives'!$C74,2),Data!$C$14:$C$30,0),0))</f>
        <v>-</v>
      </c>
      <c r="E74" s="707" t="str">
        <f>IF($C74=$B$33,$B$33,INDEX(Data!$G$14:$G$30,MATCH('R5 - Output Incentives'!E$6+RIGHT('R5 - Output Incentives'!$C74,2),Data!$C$14:$C$30,0),0))</f>
        <v>-</v>
      </c>
      <c r="F74" s="707" t="str">
        <f>IF($C74=$B$33,$B$33,INDEX(Data!$G$14:$G$30,MATCH('R5 - Output Incentives'!F$6+RIGHT('R5 - Output Incentives'!$C74,2),Data!$C$14:$C$30,0),0))</f>
        <v>-</v>
      </c>
      <c r="G74" s="707" t="str">
        <f>IF($C74=$B$33,$B$33,INDEX(Data!$G$14:$G$30,MATCH('R5 - Output Incentives'!G$6+RIGHT('R5 - Output Incentives'!$C74,2),Data!$C$14:$C$30,0),0))</f>
        <v>-</v>
      </c>
      <c r="H74" s="707" t="str">
        <f>IF($C74=$B$33,$B$33,INDEX(Data!$G$14:$G$30,MATCH('R5 - Output Incentives'!H$6+RIGHT('R5 - Output Incentives'!$C74,2),Data!$C$14:$C$30,0),0))</f>
        <v>-</v>
      </c>
      <c r="I74" s="707" t="str">
        <f>IF($C74=$B$33,$B$33,INDEX(Data!$G$14:$G$30,MATCH('R5 - Output Incentives'!I$6+RIGHT('R5 - Output Incentives'!$C74,2),Data!$C$14:$C$30,0),0))</f>
        <v>-</v>
      </c>
      <c r="J74" s="707" t="str">
        <f>IF($C74=$B$33,$B$33,INDEX(Data!$G$14:$G$30,MATCH('R5 - Output Incentives'!J$6+RIGHT('R5 - Output Incentives'!$C74,2),Data!$C$14:$C$30,0),0))</f>
        <v>-</v>
      </c>
      <c r="K74" s="708" t="str">
        <f>IF($C74=$B$33,$B$33,INDEX(Data!$G$14:$G$30,MATCH('R5 - Output Incentives'!K$6+RIGHT('R5 - Output Incentives'!$C74,2),Data!$C$14:$C$30,0),0))</f>
        <v>-</v>
      </c>
      <c r="L74" s="886"/>
      <c r="M74" s="887"/>
    </row>
    <row r="75" spans="1:14" s="2" customFormat="1">
      <c r="A75" s="119"/>
      <c r="B75" s="21" t="s">
        <v>294</v>
      </c>
      <c r="C75" s="114"/>
      <c r="D75" s="508">
        <f>IFERROR(D73*(1-D74),0)</f>
        <v>0</v>
      </c>
      <c r="E75" s="509">
        <f t="shared" ref="E75:K75" si="26">IFERROR(E73*(1-E74),0)</f>
        <v>0</v>
      </c>
      <c r="F75" s="509">
        <f t="shared" si="26"/>
        <v>0</v>
      </c>
      <c r="G75" s="509">
        <f t="shared" si="26"/>
        <v>0</v>
      </c>
      <c r="H75" s="509">
        <f t="shared" si="26"/>
        <v>0</v>
      </c>
      <c r="I75" s="509">
        <f t="shared" si="26"/>
        <v>0</v>
      </c>
      <c r="J75" s="509">
        <f t="shared" si="26"/>
        <v>0</v>
      </c>
      <c r="K75" s="509">
        <f t="shared" si="26"/>
        <v>0</v>
      </c>
      <c r="L75" s="554">
        <f>SUM(D75:INDEX(D75:K75,0,MATCH('RFPR cover'!$C$7,$D$6:$K$6,0)))</f>
        <v>0</v>
      </c>
      <c r="M75" s="555">
        <f>SUM(D75:K75)</f>
        <v>0</v>
      </c>
    </row>
    <row r="76" spans="1:14" s="435" customFormat="1" ht="14.25" customHeight="1">
      <c r="A76" s="434"/>
      <c r="C76" s="436"/>
      <c r="D76" s="437"/>
      <c r="E76" s="437"/>
      <c r="F76" s="437"/>
      <c r="G76" s="437"/>
      <c r="H76" s="437"/>
      <c r="I76" s="437"/>
      <c r="J76" s="437"/>
      <c r="K76" s="437"/>
      <c r="L76" s="438"/>
      <c r="M76" s="438"/>
    </row>
    <row r="77" spans="1:14" s="2" customFormat="1">
      <c r="B77" s="89" t="s">
        <v>365</v>
      </c>
      <c r="C77" s="110"/>
      <c r="D77" s="96"/>
      <c r="E77" s="96"/>
      <c r="F77" s="96"/>
      <c r="G77" s="96"/>
      <c r="H77" s="96"/>
      <c r="I77" s="96"/>
      <c r="J77" s="96"/>
      <c r="K77" s="96"/>
      <c r="L77" s="60"/>
      <c r="M77" s="60"/>
      <c r="N77" s="60"/>
    </row>
    <row r="78" spans="1:14" s="2" customFormat="1">
      <c r="B78" s="299" t="s">
        <v>366</v>
      </c>
      <c r="C78" s="243"/>
      <c r="D78" s="244"/>
      <c r="E78" s="244"/>
      <c r="F78" s="244"/>
      <c r="G78" s="244"/>
      <c r="H78" s="244"/>
      <c r="I78" s="244"/>
      <c r="J78" s="244"/>
      <c r="K78" s="244"/>
      <c r="L78" s="245"/>
      <c r="M78" s="245"/>
      <c r="N78" s="245"/>
    </row>
    <row r="79" spans="1:14" s="2" customFormat="1">
      <c r="B79" s="299" t="s">
        <v>367</v>
      </c>
      <c r="C79" s="243"/>
      <c r="D79" s="244"/>
      <c r="E79" s="244"/>
      <c r="F79" s="244"/>
      <c r="G79" s="244"/>
      <c r="H79" s="244"/>
      <c r="I79" s="244"/>
      <c r="J79" s="244"/>
      <c r="K79" s="244"/>
      <c r="L79" s="245"/>
      <c r="M79" s="245"/>
      <c r="N79" s="245"/>
    </row>
    <row r="80" spans="1:14" s="435" customFormat="1">
      <c r="B80" s="440"/>
      <c r="C80" s="441"/>
      <c r="D80" s="442"/>
      <c r="E80" s="442"/>
      <c r="F80" s="442"/>
      <c r="G80" s="442"/>
      <c r="H80" s="442"/>
      <c r="I80" s="442"/>
      <c r="J80" s="442"/>
      <c r="K80" s="442"/>
    </row>
    <row r="81" spans="1:12" s="2" customFormat="1">
      <c r="B81" s="5"/>
      <c r="C81" s="443" t="s">
        <v>368</v>
      </c>
      <c r="D81" s="444" t="str">
        <f t="shared" ref="D81:K81" si="27">IF($C50=$B$33,D$6,IF(D$6-RIGHT($C50,1)&lt;$D$6,"Pre-RIIO",D$6-RIGHT($C50,1)))</f>
        <v>Pre-RIIO</v>
      </c>
      <c r="E81" s="445" t="str">
        <f t="shared" si="27"/>
        <v>Pre-RIIO</v>
      </c>
      <c r="F81" s="445">
        <f t="shared" si="27"/>
        <v>2014</v>
      </c>
      <c r="G81" s="445">
        <f t="shared" si="27"/>
        <v>2015</v>
      </c>
      <c r="H81" s="445">
        <f t="shared" si="27"/>
        <v>2016</v>
      </c>
      <c r="I81" s="445">
        <f t="shared" si="27"/>
        <v>2017</v>
      </c>
      <c r="J81" s="445">
        <f t="shared" si="27"/>
        <v>2018</v>
      </c>
      <c r="K81" s="446">
        <f t="shared" si="27"/>
        <v>2019</v>
      </c>
    </row>
    <row r="82" spans="1:12" s="2" customFormat="1">
      <c r="A82" s="3" t="str">
        <f>A11</f>
        <v>a</v>
      </c>
      <c r="B82" s="94" t="str">
        <f>B11&amp;""</f>
        <v>Electricity Market Reform incentive revenue</v>
      </c>
      <c r="C82" s="98" t="s">
        <v>297</v>
      </c>
      <c r="D82" s="526">
        <v>0</v>
      </c>
      <c r="E82" s="526">
        <v>0</v>
      </c>
      <c r="F82" s="526">
        <v>0</v>
      </c>
      <c r="G82" s="526">
        <v>0.125</v>
      </c>
      <c r="H82" s="526">
        <v>7.4999999999999997E-2</v>
      </c>
      <c r="I82" s="526">
        <v>-5.4545454545454612E-2</v>
      </c>
      <c r="J82" s="526">
        <v>1.1475414465294225</v>
      </c>
      <c r="K82" s="526">
        <v>-0.94110092781172194</v>
      </c>
    </row>
    <row r="83" spans="1:12" s="2" customFormat="1">
      <c r="A83" s="3"/>
      <c r="B83" s="94"/>
      <c r="C83" s="98"/>
      <c r="D83" s="98"/>
      <c r="E83" s="98"/>
      <c r="F83" s="98"/>
      <c r="G83" s="98"/>
      <c r="H83" s="98"/>
      <c r="I83" s="98"/>
      <c r="J83" s="98"/>
      <c r="K83" s="98"/>
      <c r="L83" s="98"/>
    </row>
    <row r="84" spans="1:12" s="2" customFormat="1">
      <c r="A84" s="3"/>
      <c r="B84" s="94"/>
      <c r="C84" s="443" t="s">
        <v>368</v>
      </c>
      <c r="D84" s="444">
        <f t="shared" ref="D84:K84" si="28">IF($C54=$B$33,D$6,IF(D$6-RIGHT($C54,1)&lt;$D$6,"Pre-RIIO",D$6-RIGHT($C54,1)))</f>
        <v>2014</v>
      </c>
      <c r="E84" s="445">
        <f t="shared" si="28"/>
        <v>2015</v>
      </c>
      <c r="F84" s="445">
        <f t="shared" si="28"/>
        <v>2016</v>
      </c>
      <c r="G84" s="445">
        <f t="shared" si="28"/>
        <v>2017</v>
      </c>
      <c r="H84" s="445">
        <f t="shared" si="28"/>
        <v>2018</v>
      </c>
      <c r="I84" s="445">
        <f t="shared" si="28"/>
        <v>2019</v>
      </c>
      <c r="J84" s="445">
        <f t="shared" si="28"/>
        <v>2020</v>
      </c>
      <c r="K84" s="446">
        <f t="shared" si="28"/>
        <v>2021</v>
      </c>
    </row>
    <row r="85" spans="1:12" s="2" customFormat="1">
      <c r="A85" s="3" t="str">
        <f>A12</f>
        <v>b</v>
      </c>
      <c r="B85" s="94" t="str">
        <f>B12&amp;""</f>
        <v>Balancing Services Incentive Scheme</v>
      </c>
      <c r="C85" s="98" t="s">
        <v>297</v>
      </c>
      <c r="D85" s="526">
        <v>22.059720550000009</v>
      </c>
      <c r="E85" s="526">
        <v>25</v>
      </c>
      <c r="F85" s="526">
        <v>30</v>
      </c>
      <c r="G85" s="526">
        <v>4.1735466000000088</v>
      </c>
      <c r="H85" s="526">
        <v>10</v>
      </c>
      <c r="I85" s="526">
        <v>0</v>
      </c>
      <c r="J85" s="526">
        <v>0</v>
      </c>
      <c r="K85" s="526">
        <v>0</v>
      </c>
    </row>
    <row r="86" spans="1:12" s="2" customFormat="1">
      <c r="A86" s="3"/>
      <c r="B86" s="94"/>
      <c r="C86" s="98"/>
      <c r="D86" s="98"/>
      <c r="E86" s="98"/>
      <c r="F86" s="98"/>
      <c r="G86" s="98"/>
      <c r="H86" s="98"/>
      <c r="I86" s="98"/>
      <c r="J86" s="98"/>
      <c r="K86" s="98"/>
      <c r="L86" s="98"/>
    </row>
    <row r="87" spans="1:12" s="2" customFormat="1">
      <c r="A87" s="3"/>
      <c r="B87" s="94"/>
      <c r="C87" s="443" t="s">
        <v>368</v>
      </c>
      <c r="D87" s="444">
        <f t="shared" ref="D87:K87" si="29">IF($C58=$B$33,D$6,IF(D$6-RIGHT($C58,1)&lt;$D$6,"Pre-RIIO",D$6-RIGHT($C58,1)))</f>
        <v>2014</v>
      </c>
      <c r="E87" s="445">
        <f t="shared" si="29"/>
        <v>2015</v>
      </c>
      <c r="F87" s="445">
        <f t="shared" si="29"/>
        <v>2016</v>
      </c>
      <c r="G87" s="445">
        <f t="shared" si="29"/>
        <v>2017</v>
      </c>
      <c r="H87" s="445">
        <f t="shared" si="29"/>
        <v>2018</v>
      </c>
      <c r="I87" s="445">
        <f t="shared" si="29"/>
        <v>2019</v>
      </c>
      <c r="J87" s="445">
        <f t="shared" si="29"/>
        <v>2020</v>
      </c>
      <c r="K87" s="446">
        <f t="shared" si="29"/>
        <v>2021</v>
      </c>
    </row>
    <row r="88" spans="1:12" s="2" customFormat="1">
      <c r="A88" s="3" t="str">
        <f>A13</f>
        <v>c</v>
      </c>
      <c r="B88" s="94" t="str">
        <f>B13&amp;""</f>
        <v>Renewable wind forecasting incentive</v>
      </c>
      <c r="C88" s="98" t="s">
        <v>297</v>
      </c>
      <c r="D88" s="526">
        <v>0.498</v>
      </c>
      <c r="E88" s="526">
        <v>0.72495085299999995</v>
      </c>
      <c r="F88" s="526">
        <v>-0.26477200000000001</v>
      </c>
      <c r="G88" s="526">
        <v>-6.6600000000000006E-2</v>
      </c>
      <c r="H88" s="526">
        <v>-0.26411040071991526</v>
      </c>
      <c r="I88" s="526">
        <v>0</v>
      </c>
      <c r="J88" s="526">
        <v>0</v>
      </c>
      <c r="K88" s="526">
        <v>0</v>
      </c>
    </row>
    <row r="89" spans="1:12" s="2" customFormat="1">
      <c r="A89" s="3"/>
      <c r="B89" s="94"/>
      <c r="C89" s="98"/>
      <c r="D89" s="98"/>
      <c r="E89" s="98"/>
      <c r="F89" s="98"/>
      <c r="G89" s="98"/>
      <c r="H89" s="98"/>
      <c r="I89" s="98"/>
      <c r="J89" s="98"/>
      <c r="K89" s="98"/>
      <c r="L89" s="98"/>
    </row>
    <row r="90" spans="1:12" s="2" customFormat="1">
      <c r="A90" s="3"/>
      <c r="B90" s="94"/>
      <c r="C90" s="443" t="s">
        <v>368</v>
      </c>
      <c r="D90" s="444">
        <f t="shared" ref="D90:K90" si="30">IF($C62=$B$33,D$6,IF(D$6-RIGHT($C62,1)&lt;$D$6,"Pre-RIIO",D$6-RIGHT($C62,1)))</f>
        <v>2014</v>
      </c>
      <c r="E90" s="445">
        <f t="shared" si="30"/>
        <v>2015</v>
      </c>
      <c r="F90" s="445">
        <f t="shared" si="30"/>
        <v>2016</v>
      </c>
      <c r="G90" s="445">
        <f t="shared" si="30"/>
        <v>2017</v>
      </c>
      <c r="H90" s="445">
        <f t="shared" si="30"/>
        <v>2018</v>
      </c>
      <c r="I90" s="445">
        <f t="shared" si="30"/>
        <v>2019</v>
      </c>
      <c r="J90" s="445">
        <f t="shared" si="30"/>
        <v>2020</v>
      </c>
      <c r="K90" s="446">
        <f t="shared" si="30"/>
        <v>2021</v>
      </c>
    </row>
    <row r="91" spans="1:12" s="2" customFormat="1">
      <c r="A91" s="3" t="str">
        <f>A14</f>
        <v>d</v>
      </c>
      <c r="B91" s="94" t="str">
        <f>B14&amp;""</f>
        <v>New ESO Incentive (FY19 onwards)</v>
      </c>
      <c r="C91" s="98" t="s">
        <v>297</v>
      </c>
      <c r="D91" s="526">
        <v>0</v>
      </c>
      <c r="E91" s="526">
        <v>0</v>
      </c>
      <c r="F91" s="526">
        <v>0</v>
      </c>
      <c r="G91" s="526">
        <v>0</v>
      </c>
      <c r="H91" s="526">
        <v>0</v>
      </c>
      <c r="I91" s="526">
        <v>0.86</v>
      </c>
      <c r="J91" s="526">
        <v>1</v>
      </c>
      <c r="K91" s="526">
        <v>0</v>
      </c>
    </row>
    <row r="92" spans="1:12" s="2" customFormat="1">
      <c r="A92" s="3"/>
      <c r="B92" s="94"/>
      <c r="C92" s="98"/>
      <c r="D92" s="98"/>
      <c r="E92" s="98"/>
      <c r="F92" s="98"/>
      <c r="G92" s="98"/>
      <c r="H92" s="98"/>
      <c r="I92" s="98"/>
      <c r="J92" s="98"/>
      <c r="K92" s="98"/>
      <c r="L92" s="98"/>
    </row>
    <row r="93" spans="1:12" s="2" customFormat="1">
      <c r="A93" s="3"/>
      <c r="B93" s="94"/>
      <c r="C93" s="443" t="s">
        <v>368</v>
      </c>
      <c r="D93" s="444">
        <f>IF($C66=$B$33,D$6,IF(D$6-RIGHT($C66,1)&lt;$D$6,"Pre-RIIO",D$6-RIGHT($C66,1)))</f>
        <v>2014</v>
      </c>
      <c r="E93" s="445">
        <f t="shared" ref="E93:K93" si="31">IF($C66=$B$33,E$6,IF(E$6-RIGHT($C66,1)&lt;$D$6,"Pre-RIIO",E$6-RIGHT($C66,1)))</f>
        <v>2015</v>
      </c>
      <c r="F93" s="445">
        <f t="shared" si="31"/>
        <v>2016</v>
      </c>
      <c r="G93" s="445">
        <f t="shared" si="31"/>
        <v>2017</v>
      </c>
      <c r="H93" s="445">
        <f t="shared" si="31"/>
        <v>2018</v>
      </c>
      <c r="I93" s="445">
        <f t="shared" si="31"/>
        <v>2019</v>
      </c>
      <c r="J93" s="445">
        <f t="shared" si="31"/>
        <v>2020</v>
      </c>
      <c r="K93" s="446">
        <f t="shared" si="31"/>
        <v>2021</v>
      </c>
    </row>
    <row r="94" spans="1:12" s="2" customFormat="1">
      <c r="A94" s="3" t="str">
        <f>A15</f>
        <v>e</v>
      </c>
      <c r="B94" s="94" t="str">
        <f>B15&amp;""</f>
        <v/>
      </c>
      <c r="C94" s="98" t="s">
        <v>297</v>
      </c>
      <c r="D94" s="526"/>
      <c r="E94" s="527"/>
      <c r="F94" s="527"/>
      <c r="G94" s="527"/>
      <c r="H94" s="513"/>
      <c r="I94" s="513"/>
      <c r="J94" s="513"/>
      <c r="K94" s="513"/>
    </row>
    <row r="95" spans="1:12" s="2" customFormat="1">
      <c r="A95" s="3"/>
      <c r="B95" s="94"/>
      <c r="C95" s="98"/>
      <c r="D95" s="98"/>
      <c r="E95" s="98"/>
      <c r="F95" s="98"/>
      <c r="G95" s="98"/>
      <c r="H95" s="98"/>
      <c r="I95" s="98"/>
      <c r="J95" s="98"/>
      <c r="K95" s="98"/>
      <c r="L95" s="98"/>
    </row>
    <row r="96" spans="1:12" s="2" customFormat="1">
      <c r="A96" s="3"/>
      <c r="B96" s="94"/>
      <c r="C96" s="443" t="s">
        <v>368</v>
      </c>
      <c r="D96" s="444">
        <f>IF($C70=$B$33,D$6,IF(D$6-RIGHT($C70,1)&lt;$D$6,"Pre-RIIO",D$6-RIGHT($C70,1)))</f>
        <v>2014</v>
      </c>
      <c r="E96" s="444">
        <f t="shared" ref="E96:K96" si="32">IF($C70=$B$33,E$6,IF(E$6-RIGHT($C70,1)&lt;$D$6,"Pre-RIIO",E$6-RIGHT($C70,1)))</f>
        <v>2015</v>
      </c>
      <c r="F96" s="444">
        <f t="shared" si="32"/>
        <v>2016</v>
      </c>
      <c r="G96" s="444">
        <f t="shared" si="32"/>
        <v>2017</v>
      </c>
      <c r="H96" s="444">
        <f t="shared" si="32"/>
        <v>2018</v>
      </c>
      <c r="I96" s="444">
        <f t="shared" si="32"/>
        <v>2019</v>
      </c>
      <c r="J96" s="444">
        <f t="shared" si="32"/>
        <v>2020</v>
      </c>
      <c r="K96" s="444">
        <f t="shared" si="32"/>
        <v>2021</v>
      </c>
    </row>
    <row r="97" spans="1:13" s="2" customFormat="1">
      <c r="A97" s="3" t="str">
        <f>A16</f>
        <v>f</v>
      </c>
      <c r="B97" s="94" t="str">
        <f>B16&amp;""</f>
        <v/>
      </c>
      <c r="C97" s="98" t="s">
        <v>297</v>
      </c>
      <c r="D97" s="526"/>
      <c r="E97" s="527"/>
      <c r="F97" s="527"/>
      <c r="G97" s="527"/>
      <c r="H97" s="513"/>
      <c r="I97" s="513"/>
      <c r="J97" s="513"/>
      <c r="K97" s="513"/>
    </row>
    <row r="98" spans="1:13" s="2" customFormat="1">
      <c r="A98" s="3"/>
      <c r="B98" s="94"/>
      <c r="C98" s="98"/>
      <c r="D98" s="98"/>
      <c r="E98" s="98"/>
      <c r="F98" s="98"/>
      <c r="G98" s="98"/>
      <c r="H98" s="98"/>
      <c r="I98" s="98"/>
      <c r="J98" s="98"/>
      <c r="K98" s="98"/>
      <c r="L98" s="98"/>
    </row>
    <row r="99" spans="1:13" s="2" customFormat="1">
      <c r="A99" s="3"/>
      <c r="B99" s="94"/>
      <c r="C99" s="443" t="s">
        <v>368</v>
      </c>
      <c r="D99" s="444">
        <f>IF($C74=$B$33,D$6,IF(D$6-RIGHT($C74,1)&lt;$D$6,"Pre-RIIO",D$6-RIGHT($C74,1)))</f>
        <v>2014</v>
      </c>
      <c r="E99" s="444">
        <f t="shared" ref="E99:K99" si="33">IF($C74=$B$33,E$6,IF(E$6-RIGHT($C74,1)&lt;$D$6,"Pre-RIIO",E$6-RIGHT($C74,1)))</f>
        <v>2015</v>
      </c>
      <c r="F99" s="444">
        <f t="shared" si="33"/>
        <v>2016</v>
      </c>
      <c r="G99" s="444">
        <f t="shared" si="33"/>
        <v>2017</v>
      </c>
      <c r="H99" s="444">
        <f t="shared" si="33"/>
        <v>2018</v>
      </c>
      <c r="I99" s="444">
        <f t="shared" si="33"/>
        <v>2019</v>
      </c>
      <c r="J99" s="444">
        <f t="shared" si="33"/>
        <v>2020</v>
      </c>
      <c r="K99" s="444">
        <f t="shared" si="33"/>
        <v>2021</v>
      </c>
    </row>
    <row r="100" spans="1:13" s="2" customFormat="1">
      <c r="A100" s="3" t="str">
        <f>A17</f>
        <v>g</v>
      </c>
      <c r="B100" s="94" t="str">
        <f>B17&amp;""</f>
        <v/>
      </c>
      <c r="C100" s="98" t="s">
        <v>297</v>
      </c>
      <c r="D100" s="526"/>
      <c r="E100" s="527"/>
      <c r="F100" s="527"/>
      <c r="G100" s="527"/>
      <c r="H100" s="513"/>
      <c r="I100" s="513"/>
      <c r="J100" s="513"/>
      <c r="K100" s="513"/>
    </row>
    <row r="101" spans="1:13" s="2" customFormat="1" ht="13.5" customHeight="1">
      <c r="A101" s="3"/>
      <c r="B101" s="94"/>
      <c r="C101" s="98"/>
      <c r="D101" s="98"/>
      <c r="E101" s="98"/>
      <c r="F101" s="98"/>
      <c r="G101" s="98"/>
      <c r="H101" s="98"/>
      <c r="I101" s="98"/>
      <c r="J101" s="98"/>
      <c r="K101" s="98"/>
      <c r="L101" s="98"/>
      <c r="M101" s="98"/>
    </row>
    <row r="102" spans="1:13" s="2" customFormat="1">
      <c r="B102" s="5" t="s">
        <v>369</v>
      </c>
      <c r="C102" s="116" t="s">
        <v>297</v>
      </c>
      <c r="D102" s="508">
        <f>SUM(D82,D85,D88,D91,D94,D97,D100)</f>
        <v>22.55772055000001</v>
      </c>
      <c r="E102" s="508">
        <f t="shared" ref="E102:K102" si="34">SUM(E82,E85,E88,E91,E94,E97,E100)</f>
        <v>25.724950852999999</v>
      </c>
      <c r="F102" s="508">
        <f t="shared" si="34"/>
        <v>29.735227999999999</v>
      </c>
      <c r="G102" s="508">
        <f t="shared" si="34"/>
        <v>4.2319466000000086</v>
      </c>
      <c r="H102" s="509">
        <f>SUM(H82,H85,H88,H91,H94,H97,H100)</f>
        <v>9.8108895992800846</v>
      </c>
      <c r="I102" s="509">
        <f t="shared" si="34"/>
        <v>0.80545454545454542</v>
      </c>
      <c r="J102" s="509">
        <f>SUM(J82,J85,J88,J91,J94,J97,J100)</f>
        <v>2.1475414465294227</v>
      </c>
      <c r="K102" s="509">
        <f t="shared" si="34"/>
        <v>-0.94110092781172194</v>
      </c>
    </row>
    <row r="103" spans="1:13" s="2" customFormat="1">
      <c r="C103" s="98"/>
    </row>
    <row r="104" spans="1:13" s="2" customFormat="1">
      <c r="A104" s="21"/>
      <c r="B104" s="5" t="s">
        <v>358</v>
      </c>
      <c r="C104" s="115"/>
      <c r="D104" s="115"/>
      <c r="E104" s="115"/>
      <c r="F104" s="115"/>
      <c r="G104" s="115"/>
      <c r="H104" s="115"/>
      <c r="I104" s="115"/>
      <c r="J104" s="115"/>
      <c r="K104" s="115"/>
      <c r="L104" s="115"/>
      <c r="M104" s="115"/>
    </row>
    <row r="105" spans="1:13" s="2" customFormat="1">
      <c r="A105" s="223" t="str">
        <f>A82</f>
        <v>a</v>
      </c>
      <c r="B105" s="1004"/>
      <c r="C105" s="1004"/>
      <c r="D105" s="1004"/>
      <c r="E105" s="1004"/>
      <c r="F105" s="1004"/>
      <c r="G105" s="1004"/>
      <c r="H105" s="1004"/>
      <c r="I105" s="1004"/>
      <c r="J105" s="1004"/>
      <c r="K105" s="1004"/>
      <c r="L105" s="1004"/>
      <c r="M105" s="1004"/>
    </row>
    <row r="106" spans="1:13" s="2" customFormat="1">
      <c r="A106" s="223" t="str">
        <f>A85</f>
        <v>b</v>
      </c>
      <c r="B106" s="1004"/>
      <c r="C106" s="1004"/>
      <c r="D106" s="1004"/>
      <c r="E106" s="1004"/>
      <c r="F106" s="1004"/>
      <c r="G106" s="1004"/>
      <c r="H106" s="1004"/>
      <c r="I106" s="1004"/>
      <c r="J106" s="1004"/>
      <c r="K106" s="1004"/>
      <c r="L106" s="1004"/>
      <c r="M106" s="1004"/>
    </row>
    <row r="107" spans="1:13" s="2" customFormat="1">
      <c r="A107" s="223" t="str">
        <f>A88</f>
        <v>c</v>
      </c>
      <c r="B107" s="1004"/>
      <c r="C107" s="1004"/>
      <c r="D107" s="1004"/>
      <c r="E107" s="1004"/>
      <c r="F107" s="1004"/>
      <c r="G107" s="1004"/>
      <c r="H107" s="1004"/>
      <c r="I107" s="1004"/>
      <c r="J107" s="1004"/>
      <c r="K107" s="1004"/>
      <c r="L107" s="1004"/>
      <c r="M107" s="1004"/>
    </row>
    <row r="108" spans="1:13" s="2" customFormat="1">
      <c r="A108" s="223" t="str">
        <f>A91</f>
        <v>d</v>
      </c>
      <c r="B108" s="1004"/>
      <c r="C108" s="1004"/>
      <c r="D108" s="1004"/>
      <c r="E108" s="1004"/>
      <c r="F108" s="1004"/>
      <c r="G108" s="1004"/>
      <c r="H108" s="1004"/>
      <c r="I108" s="1004"/>
      <c r="J108" s="1004"/>
      <c r="K108" s="1004"/>
      <c r="L108" s="1004"/>
      <c r="M108" s="1004"/>
    </row>
    <row r="109" spans="1:13" s="2" customFormat="1">
      <c r="A109" s="223" t="str">
        <f>A94</f>
        <v>e</v>
      </c>
      <c r="B109" s="1004"/>
      <c r="C109" s="1004"/>
      <c r="D109" s="1004"/>
      <c r="E109" s="1004"/>
      <c r="F109" s="1004"/>
      <c r="G109" s="1004"/>
      <c r="H109" s="1004"/>
      <c r="I109" s="1004"/>
      <c r="J109" s="1004"/>
      <c r="K109" s="1004"/>
      <c r="L109" s="1004"/>
      <c r="M109" s="1004"/>
    </row>
    <row r="110" spans="1:13" s="2" customFormat="1">
      <c r="A110" s="223" t="str">
        <f>A97</f>
        <v>f</v>
      </c>
      <c r="B110" s="1004"/>
      <c r="C110" s="1004"/>
      <c r="D110" s="1004"/>
      <c r="E110" s="1004"/>
      <c r="F110" s="1004"/>
      <c r="G110" s="1004"/>
      <c r="H110" s="1004"/>
      <c r="I110" s="1004"/>
      <c r="J110" s="1004"/>
      <c r="K110" s="1004"/>
      <c r="L110" s="1004"/>
      <c r="M110" s="1004"/>
    </row>
    <row r="111" spans="1:13" s="2" customFormat="1">
      <c r="A111" s="223" t="str">
        <f>A100</f>
        <v>g</v>
      </c>
      <c r="B111" s="1004"/>
      <c r="C111" s="1004"/>
      <c r="D111" s="1004"/>
      <c r="E111" s="1004"/>
      <c r="F111" s="1004"/>
      <c r="G111" s="1004"/>
      <c r="H111" s="1004"/>
      <c r="I111" s="1004"/>
      <c r="J111" s="1004"/>
      <c r="K111" s="1004"/>
      <c r="L111" s="1004"/>
      <c r="M111" s="1004"/>
    </row>
    <row r="112" spans="1:13" s="435" customFormat="1">
      <c r="A112" s="434"/>
      <c r="C112" s="436"/>
      <c r="D112" s="437"/>
      <c r="E112" s="437"/>
      <c r="F112" s="437"/>
      <c r="G112" s="437"/>
      <c r="H112" s="437"/>
      <c r="I112" s="437"/>
      <c r="J112" s="437"/>
      <c r="K112" s="437"/>
      <c r="L112" s="438"/>
      <c r="M112" s="438"/>
    </row>
    <row r="113" spans="1:14" s="435" customFormat="1">
      <c r="A113" s="434"/>
      <c r="C113" s="436"/>
      <c r="D113" s="436"/>
      <c r="E113" s="436"/>
      <c r="F113" s="436"/>
      <c r="G113" s="436"/>
      <c r="H113" s="436"/>
      <c r="I113" s="436"/>
      <c r="J113" s="436"/>
      <c r="K113" s="436"/>
      <c r="L113" s="436"/>
      <c r="M113" s="436"/>
    </row>
    <row r="114" spans="1:14" s="2" customFormat="1">
      <c r="A114" s="60"/>
      <c r="B114" s="60"/>
      <c r="C114" s="110"/>
      <c r="D114" s="60"/>
      <c r="E114" s="60"/>
      <c r="F114" s="60"/>
      <c r="G114" s="60"/>
      <c r="H114" s="60"/>
      <c r="I114" s="60"/>
      <c r="J114" s="60"/>
      <c r="K114" s="60"/>
      <c r="L114" s="60"/>
      <c r="M114" s="60"/>
      <c r="N114" s="60"/>
    </row>
  </sheetData>
  <sheetProtection algorithmName="SHA-512" hashValue="z8Y5GtjDh1A33/Ruvz9NN/7DLkauVbKgXHxjh9ENMkxnbj7FjXMGXttUFdGtynq+S9UHk6JQ91hlqnpRfPp9Bg==" saltValue="SVVMBrjnbdIP1cPanrosOw==" spinCount="100000" sheet="1" formatCells="0" formatColumns="0" formatRows="0" insertColumns="0" insertRows="0" insertHyperlinks="0" deleteColumns="0" deleteRows="0" sort="0" autoFilter="0" pivotTables="0"/>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55" priority="31">
      <formula>AND(D$5="Actuals",E$5="Forecast")</formula>
    </cfRule>
  </conditionalFormatting>
  <conditionalFormatting sqref="D5:K5">
    <cfRule type="expression" dxfId="5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D71B9563EDE46AB3DF843FD4141ED" ma:contentTypeVersion="6" ma:contentTypeDescription="Create a new document." ma:contentTypeScope="" ma:versionID="9b157001893222972b066fb428a29b01">
  <xsd:schema xmlns:xsd="http://www.w3.org/2001/XMLSchema" xmlns:xs="http://www.w3.org/2001/XMLSchema" xmlns:p="http://schemas.microsoft.com/office/2006/metadata/properties" xmlns:ns2="a618e47c-7853-4507-a12e-9186dea01ba6" xmlns:ns3="4d969953-9b4f-4cad-a221-af528e081792" targetNamespace="http://schemas.microsoft.com/office/2006/metadata/properties" ma:root="true" ma:fieldsID="171ee5f088b610b55f22a239ff191db0" ns2:_="" ns3:_="">
    <xsd:import namespace="a618e47c-7853-4507-a12e-9186dea01ba6"/>
    <xsd:import namespace="4d969953-9b4f-4cad-a221-af528e08179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8e47c-7853-4507-a12e-9186dea01b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969953-9b4f-4cad-a221-af528e08179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ACBDCE8C-94CA-4503-8644-C0DF27B498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8e47c-7853-4507-a12e-9186dea01ba6"/>
    <ds:schemaRef ds:uri="4d969953-9b4f-4cad-a221-af528e0817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CC285FE4-1466-4BF7-8FA9-67F63A3D57B8}">
  <ds:schemaRefs>
    <ds:schemaRef ds:uri="http://purl.org/dc/dcmitype/"/>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4d969953-9b4f-4cad-a221-af528e081792"/>
    <ds:schemaRef ds:uri="a618e47c-7853-4507-a12e-9186dea01ba6"/>
    <ds:schemaRef ds:uri="http://purl.org/dc/elements/1.1/"/>
  </ds:schemaRefs>
</ds:datastoreItem>
</file>

<file path=customXml/itemProps4.xml><?xml version="1.0" encoding="utf-8"?>
<ds:datastoreItem xmlns:ds="http://schemas.openxmlformats.org/officeDocument/2006/customXml" ds:itemID="{23302359-0A5A-443C-AC8D-7BDD5B842A3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keywords/>
  <dc:description/>
  <cp:lastModifiedBy>Hoffman,Jo</cp:lastModifiedBy>
  <cp:revision/>
  <dcterms:created xsi:type="dcterms:W3CDTF">2018-06-13T08:32:09Z</dcterms:created>
  <dcterms:modified xsi:type="dcterms:W3CDTF">2020-08-27T07:22:30Z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0x0101009CED71B9563EDE46AB3DF843FD4141ED</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ies>
</file>